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9.xml" ContentType="application/vnd.openxmlformats-officedocument.spreadsheetml.worksheet+xml"/>
  <Override PartName="/xl/worksheets/sheet44.xml" ContentType="application/vnd.openxmlformats-officedocument.spreadsheetml.worksheet+xml"/>
  <Override PartName="/xl/worksheets/sheet1.xml" ContentType="application/vnd.openxmlformats-officedocument.spreadsheetml.worksheet+xml"/>
  <Override PartName="/xl/worksheets/sheet45.xml" ContentType="application/vnd.openxmlformats-officedocument.spreadsheetml.worksheet+xml"/>
  <Override PartName="/xl/worksheets/sheet2.xml" ContentType="application/vnd.openxmlformats-officedocument.spreadsheetml.worksheet+xml"/>
  <Override PartName="/xl/worksheets/sheet46.xml" ContentType="application/vnd.openxmlformats-officedocument.spreadsheetml.worksheet+xml"/>
  <Override PartName="/xl/worksheets/sheet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.xml" ContentType="application/vnd.openxmlformats-officedocument.spreadsheetml.worksheet+xml"/>
  <Override PartName="/xl/worksheets/sheet48.xml" ContentType="application/vnd.openxmlformats-officedocument.spreadsheetml.worksheet+xml"/>
  <Override PartName="/xl/worksheets/sheet5.xml" ContentType="application/vnd.openxmlformats-officedocument.spreadsheetml.worksheet+xml"/>
  <Override PartName="/xl/worksheets/sheet49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1"/>
  </bookViews>
  <sheets>
    <sheet name="09.01.2018" sheetId="1" state="visible" r:id="rId2"/>
    <sheet name="22.01.2018" sheetId="2" state="visible" r:id="rId3"/>
    <sheet name="12.02.2018" sheetId="3" state="visible" r:id="rId4"/>
    <sheet name="29.01.2018" sheetId="4" state="visible" r:id="rId5"/>
    <sheet name="05.02.2018" sheetId="5" state="visible" r:id="rId6"/>
    <sheet name="19.02.2018" sheetId="6" state="visible" r:id="rId7"/>
    <sheet name="26.02.2018" sheetId="7" state="visible" r:id="rId8"/>
    <sheet name="05.03.2018" sheetId="8" state="visible" r:id="rId9"/>
    <sheet name="12.03.2018" sheetId="9" state="visible" r:id="rId10"/>
    <sheet name="19.03.2018" sheetId="10" state="visible" r:id="rId11"/>
    <sheet name="26.03.2018" sheetId="11" state="visible" r:id="rId12"/>
    <sheet name="02.04.2018" sheetId="12" state="visible" r:id="rId13"/>
    <sheet name="10.04.2018" sheetId="13" state="visible" r:id="rId14"/>
    <sheet name="14.05.2018" sheetId="14" state="visible" r:id="rId15"/>
    <sheet name="15.01.2018" sheetId="15" state="visible" r:id="rId16"/>
    <sheet name="16.04.2018" sheetId="16" state="visible" r:id="rId17"/>
    <sheet name="23.04.2018" sheetId="17" state="visible" r:id="rId18"/>
    <sheet name="30.04.2018" sheetId="18" state="visible" r:id="rId19"/>
    <sheet name="07.05.2018" sheetId="19" state="visible" r:id="rId20"/>
    <sheet name="21.05.2018" sheetId="20" state="visible" r:id="rId21"/>
    <sheet name="25.06.2018" sheetId="21" state="visible" r:id="rId22"/>
    <sheet name="28.05.2018" sheetId="22" state="visible" r:id="rId23"/>
    <sheet name="04.06.2018" sheetId="23" state="visible" r:id="rId24"/>
    <sheet name="11.06.2018" sheetId="24" state="visible" r:id="rId25"/>
    <sheet name="18.06.2018" sheetId="25" state="visible" r:id="rId26"/>
    <sheet name="02.07.2018" sheetId="26" state="visible" r:id="rId27"/>
    <sheet name="09.07.2018" sheetId="27" state="visible" r:id="rId28"/>
    <sheet name="16.07.2018" sheetId="28" state="visible" r:id="rId29"/>
    <sheet name="23.07.2018" sheetId="29" state="visible" r:id="rId30"/>
    <sheet name="30.07.2018" sheetId="30" state="visible" r:id="rId31"/>
    <sheet name="06.08.2018" sheetId="31" state="visible" r:id="rId32"/>
    <sheet name="13.08.2018" sheetId="32" state="visible" r:id="rId33"/>
    <sheet name="20.08.2018" sheetId="33" state="visible" r:id="rId34"/>
    <sheet name="27.08.2018" sheetId="34" state="visible" r:id="rId35"/>
    <sheet name="03.09.2018" sheetId="35" state="visible" r:id="rId36"/>
    <sheet name="10.09.2018" sheetId="36" state="visible" r:id="rId37"/>
    <sheet name="17.09.2018" sheetId="37" state="visible" r:id="rId38"/>
    <sheet name="24.09.2018" sheetId="38" state="visible" r:id="rId39"/>
    <sheet name="01.10.2018" sheetId="39" state="visible" r:id="rId40"/>
    <sheet name="08.10.2018" sheetId="40" state="visible" r:id="rId41"/>
    <sheet name="16.10.2018" sheetId="41" state="visible" r:id="rId42"/>
    <sheet name="22.10.2018" sheetId="42" state="visible" r:id="rId43"/>
    <sheet name="29.10.2018" sheetId="43" state="visible" r:id="rId44"/>
    <sheet name="05.11.2018" sheetId="44" state="visible" r:id="rId45"/>
    <sheet name="12.11.2018" sheetId="45" state="visible" r:id="rId46"/>
    <sheet name="19.11.2018" sheetId="46" state="visible" r:id="rId47"/>
    <sheet name="26.11.2018" sheetId="47" state="visible" r:id="rId48"/>
    <sheet name="03.12.2018" sheetId="48" state="visible" r:id="rId49"/>
    <sheet name="10.12.2018" sheetId="49" state="visible" r:id="rId50"/>
    <sheet name="17.12.2018" sheetId="50" state="visible" r:id="rId51"/>
    <sheet name="26.12.2018" sheetId="51" state="visible" r:id="rId52"/>
    <sheet name="31.12.2018" sheetId="52" state="visible" r:id="rId53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<sst xmlns="http://schemas.openxmlformats.org/spreadsheetml/2006/main" count="34409" uniqueCount="308">
  <si>
    <t xml:space="preserve">Оперативна інформація щодо видання доручень регіональним та місцевими центрами з надання БВПД, оплати послуг та відшкодування витрат адвокатів, які надають безоплатну вторинну правову допомогу, у 2018 році</t>
  </si>
  <si>
    <t xml:space="preserve">Регіональний центр з надання безоплатної вторинної правової допомоги у Рівненській області</t>
  </si>
  <si>
    <t xml:space="preserve">(назва регіонального центру з надання БВПД, яким підготовано інформацію)</t>
  </si>
  <si>
    <t xml:space="preserve">№</t>
  </si>
  <si>
    <t xml:space="preserve">І. Інформація про адвоката, який надає БВПД</t>
  </si>
  <si>
    <t xml:space="preserve">ІІ. Інформація за дорученнями, виданими у 2018 році</t>
  </si>
  <si>
    <t xml:space="preserve">ІІІ. Інформація за дорученнями, виданими у попередніх бюджетних періодах (включаючи ті, за якими станом на 01.01.2018 р. зареєстровано кредиторську заборгованість)</t>
  </si>
  <si>
    <t xml:space="preserve">ПІБ адвокатів, з якими центрами з надання БВПД (було) укладено контракт / договір</t>
  </si>
  <si>
    <t xml:space="preserve">Організаційна форма адвокатської діяльності (ІНД, АБ, АО)</t>
  </si>
  <si>
    <t xml:space="preserve">Назва адвокатського бюро чи адвокатського об'єднання</t>
  </si>
  <si>
    <t xml:space="preserve">Населений пункт, де знаходиться робоче місце адвоката (за ЄРАУ)</t>
  </si>
  <si>
    <t xml:space="preserve">Реквізити контракту / договору (дата укладання, №)</t>
  </si>
  <si>
    <t xml:space="preserve">Назва центру з надання БВПД, з яким адвокатом (було) укладено контракт / договір (скорочено)</t>
  </si>
  <si>
    <t xml:space="preserve">кількість виданих відповідним центром доручень (без врахування скасованих доручень, БВПД за якими не надавалася)</t>
  </si>
  <si>
    <t xml:space="preserve">кількість доручень, за якими відповідним центром прийнято хоча б один акт</t>
  </si>
  <si>
    <t xml:space="preserve">кількість актів, прийнятих відповідним центром</t>
  </si>
  <si>
    <t xml:space="preserve">сума фактичних видатків (зареєстрованих та взятих на облік органами ДКСУ) за затвердженими актами, грн</t>
  </si>
  <si>
    <t xml:space="preserve">сума касових видатків за затвердженими актами, грн</t>
  </si>
  <si>
    <t xml:space="preserve">сума кредиторської заборгованості за затвердженими актами, грн</t>
  </si>
  <si>
    <t xml:space="preserve">Алімамедов Імран Акпер Огли</t>
  </si>
  <si>
    <t xml:space="preserve">ІНД</t>
  </si>
  <si>
    <t xml:space="preserve">смт.Рокитне</t>
  </si>
  <si>
    <t xml:space="preserve">Рівненський РЦ</t>
  </si>
  <si>
    <t xml:space="preserve">Сарненський МЦ</t>
  </si>
  <si>
    <t xml:space="preserve">Байда Ігор Васильович</t>
  </si>
  <si>
    <t xml:space="preserve">м.Рівне</t>
  </si>
  <si>
    <t xml:space="preserve">Рівненський МЦ</t>
  </si>
  <si>
    <t xml:space="preserve">Баранчук Володимир Миколайович</t>
  </si>
  <si>
    <t xml:space="preserve">Барилюк Алла Іванівна</t>
  </si>
  <si>
    <t xml:space="preserve">Бірук Тетяна Борисівна</t>
  </si>
  <si>
    <t xml:space="preserve">АБ Бірук Т.Б.</t>
  </si>
  <si>
    <t xml:space="preserve">м.Радивилів</t>
  </si>
  <si>
    <t xml:space="preserve">Богельський Ігор Володимирович</t>
  </si>
  <si>
    <t xml:space="preserve">АБ</t>
  </si>
  <si>
    <t xml:space="preserve">АБ Богельського І.В.</t>
  </si>
  <si>
    <t xml:space="preserve">Дубровицький р-н</t>
  </si>
  <si>
    <t xml:space="preserve">Бойчук Костянтин Мефодійович</t>
  </si>
  <si>
    <t xml:space="preserve">Бондар Юрій Миколайович</t>
  </si>
  <si>
    <t xml:space="preserve">АО</t>
  </si>
  <si>
    <t xml:space="preserve">Адвокатське об'єднання "ІСТИНА"</t>
  </si>
  <si>
    <t xml:space="preserve">Волощук Петро Степанович</t>
  </si>
  <si>
    <t xml:space="preserve">Адвокатське об"єднання "Україна-Захід"</t>
  </si>
  <si>
    <t xml:space="preserve">м.Вараш</t>
  </si>
  <si>
    <t xml:space="preserve">Войтюк Тетяна Леонідівна</t>
  </si>
  <si>
    <t xml:space="preserve">Адвокатське бюро Войтюк Т.Л.</t>
  </si>
  <si>
    <t xml:space="preserve">м.Здолбунів</t>
  </si>
  <si>
    <t xml:space="preserve">Войцешук Анатолій Олексійович</t>
  </si>
  <si>
    <t xml:space="preserve">Губар Володимир Євгенович</t>
  </si>
  <si>
    <t xml:space="preserve">Губар Наталія Всеволодівна</t>
  </si>
  <si>
    <t xml:space="preserve">Дубич Тарас Володимирович </t>
  </si>
  <si>
    <t xml:space="preserve">м. Рівне</t>
  </si>
  <si>
    <t xml:space="preserve">Драган Володимир Петрович</t>
  </si>
  <si>
    <t xml:space="preserve">смт.Млинів</t>
  </si>
  <si>
    <t xml:space="preserve">Денисюк Віталій Степанович</t>
  </si>
  <si>
    <t xml:space="preserve">АБ ПД Денисюка</t>
  </si>
  <si>
    <t xml:space="preserve">Жилінська Тетяна Петрівна</t>
  </si>
  <si>
    <t xml:space="preserve">Іващенко Ірина Ігорівна</t>
  </si>
  <si>
    <t xml:space="preserve">АБ Іващенко І.І.</t>
  </si>
  <si>
    <t xml:space="preserve">Зозуля Максим Петрович</t>
  </si>
  <si>
    <t xml:space="preserve">Костишин Віктор Степанович</t>
  </si>
  <si>
    <t xml:space="preserve">Кравченя Марія Максимівна</t>
  </si>
  <si>
    <t xml:space="preserve">Кисельова Мирослава Ігорівна</t>
  </si>
  <si>
    <t xml:space="preserve">АБ Мирослови Кисельової </t>
  </si>
  <si>
    <t xml:space="preserve">Ковальчук Микола Олексійович</t>
  </si>
  <si>
    <t xml:space="preserve">Косів Сергій Павлович</t>
  </si>
  <si>
    <t xml:space="preserve">Крестинська Людмила Аполлінаріївна</t>
  </si>
  <si>
    <t xml:space="preserve">АБ Крестинської Людмили</t>
  </si>
  <si>
    <t xml:space="preserve">смт.Володимирець</t>
  </si>
  <si>
    <t xml:space="preserve">Кульпач Володимир Миколайович</t>
  </si>
  <si>
    <t xml:space="preserve">м.Корець</t>
  </si>
  <si>
    <t xml:space="preserve">Лазарчук Ганна Валеріївна</t>
  </si>
  <si>
    <t xml:space="preserve">АБ Лазарчук </t>
  </si>
  <si>
    <t xml:space="preserve">Лейковський Андрій Миколайович</t>
  </si>
  <si>
    <t xml:space="preserve">Лейковський Микола Павлович</t>
  </si>
  <si>
    <t xml:space="preserve">Луцик Катерина Василівна</t>
  </si>
  <si>
    <t xml:space="preserve">АБ Луцик Катерині Василівни</t>
  </si>
  <si>
    <t xml:space="preserve">Лютко Федір Карпович</t>
  </si>
  <si>
    <t xml:space="preserve">Ляшко Дмитро Володимирович</t>
  </si>
  <si>
    <t xml:space="preserve">АО "ІСТИНА"</t>
  </si>
  <si>
    <t xml:space="preserve">Ляшук Юрій Леонідович</t>
  </si>
  <si>
    <t xml:space="preserve">Максимчук Валерій Миколайович</t>
  </si>
  <si>
    <t xml:space="preserve">м.Острог</t>
  </si>
  <si>
    <t xml:space="preserve">Максимович Максим Миколайович </t>
  </si>
  <si>
    <t xml:space="preserve">Мельничук Єлизавета Степанівна</t>
  </si>
  <si>
    <t xml:space="preserve">Мервінський Валентин Васильович</t>
  </si>
  <si>
    <t xml:space="preserve">Меркулов Сергій Анатолійович</t>
  </si>
  <si>
    <t xml:space="preserve">Михалець Геннадій Вікторович</t>
  </si>
  <si>
    <t xml:space="preserve">АБ Михалець Г.В.</t>
  </si>
  <si>
    <t xml:space="preserve">м.Сарни</t>
  </si>
  <si>
    <t xml:space="preserve">Невідомський Олександр Анатолійович</t>
  </si>
  <si>
    <t xml:space="preserve">АБ "Правово допомога Невідомського"</t>
  </si>
  <si>
    <t xml:space="preserve">Негрей Олександр Михайлович</t>
  </si>
  <si>
    <t xml:space="preserve">АБ Негрея О.М.</t>
  </si>
  <si>
    <t xml:space="preserve">Нікольченко Борис Борисович</t>
  </si>
  <si>
    <t xml:space="preserve">Новосад Володимир Олександрович</t>
  </si>
  <si>
    <t xml:space="preserve">Овдіюк Дмитро Васильович</t>
  </si>
  <si>
    <t xml:space="preserve">АБ Овдіюка Д.В.</t>
  </si>
  <si>
    <t xml:space="preserve">Оніщук Марія Адамівна</t>
  </si>
  <si>
    <t xml:space="preserve">м.Березне</t>
  </si>
  <si>
    <t xml:space="preserve">Остапенко Володимир Сергійович</t>
  </si>
  <si>
    <t xml:space="preserve">АБ Остапенка Володимира</t>
  </si>
  <si>
    <t xml:space="preserve">м.Костопіль</t>
  </si>
  <si>
    <t xml:space="preserve">Панчелюга Катерина Миколаївна</t>
  </si>
  <si>
    <t xml:space="preserve">Панчина Петро Євгенович</t>
  </si>
  <si>
    <t xml:space="preserve">Пашкевич Ірина Андріївна</t>
  </si>
  <si>
    <t xml:space="preserve">Петрук Олексій Володимирович</t>
  </si>
  <si>
    <t xml:space="preserve">АБ Петрука О.В.</t>
  </si>
  <si>
    <t xml:space="preserve">смт.Гоща</t>
  </si>
  <si>
    <t xml:space="preserve">Пилипів Іван Ігорович</t>
  </si>
  <si>
    <t xml:space="preserve">АБ Пилипів І.І.</t>
  </si>
  <si>
    <t xml:space="preserve">Пилипів Ігор Іванович</t>
  </si>
  <si>
    <t xml:space="preserve">АБ Пилипів Ігор Іванович</t>
  </si>
  <si>
    <t xml:space="preserve">Протопович Арсен Рюрикович</t>
  </si>
  <si>
    <t xml:space="preserve">Прядун Олександр Маркович</t>
  </si>
  <si>
    <t xml:space="preserve">Редзель Микола Миколайович</t>
  </si>
  <si>
    <t xml:space="preserve">Рідченко Марія Володимирівна</t>
  </si>
  <si>
    <t xml:space="preserve">м.Дубно</t>
  </si>
  <si>
    <t xml:space="preserve">Рудик Олександр Андрійович</t>
  </si>
  <si>
    <t xml:space="preserve">  АБ Олександра Рудика</t>
  </si>
  <si>
    <t xml:space="preserve">Ромашко Людмила Григорівна</t>
  </si>
  <si>
    <t xml:space="preserve">Савчук Борис Борисович</t>
  </si>
  <si>
    <t xml:space="preserve">Самардак Катерина Володимирівна</t>
  </si>
  <si>
    <t xml:space="preserve">Самолюк Валерій Віталійович</t>
  </si>
  <si>
    <t xml:space="preserve">Самороков Валентин Олександрович</t>
  </si>
  <si>
    <t xml:space="preserve">Семейко Віталій Валерійович</t>
  </si>
  <si>
    <t xml:space="preserve">Слободін Антон Сергійович</t>
  </si>
  <si>
    <t xml:space="preserve">АБ "СЛОБОДІН І ПАРТНЕРИ"</t>
  </si>
  <si>
    <t xml:space="preserve">м.Вараш </t>
  </si>
  <si>
    <t xml:space="preserve">Сокол Дмитро Степанович</t>
  </si>
  <si>
    <t xml:space="preserve">Теперик Оксана Василівна</t>
  </si>
  <si>
    <t xml:space="preserve">АО "Юридична компанія "РАМ"</t>
  </si>
  <si>
    <t xml:space="preserve">Теперик Олександр Вячеславович</t>
  </si>
  <si>
    <t xml:space="preserve">Ткачук Віталій Миколайович</t>
  </si>
  <si>
    <t xml:space="preserve">Торош Серігй Олексійович</t>
  </si>
  <si>
    <t xml:space="preserve">Троцюк Олександр Степанович</t>
  </si>
  <si>
    <t xml:space="preserve">Турович Оксана Миколаївна</t>
  </si>
  <si>
    <t xml:space="preserve">Удод Віктор Федорович</t>
  </si>
  <si>
    <t xml:space="preserve">Філатова Алла Валеріївна</t>
  </si>
  <si>
    <t xml:space="preserve">Хомюк Віталій Ярославович</t>
  </si>
  <si>
    <t xml:space="preserve">АБ Хомюка В.Я.</t>
  </si>
  <si>
    <t xml:space="preserve">Шаповал Сергій Олександрович</t>
  </si>
  <si>
    <t xml:space="preserve">Острозький р-н</t>
  </si>
  <si>
    <t xml:space="preserve">Шевчук Віктор Сергійович</t>
  </si>
  <si>
    <t xml:space="preserve">Шеруда Олена Павлівна</t>
  </si>
  <si>
    <t xml:space="preserve">Шминдрук Ольга Федорівна</t>
  </si>
  <si>
    <t xml:space="preserve">Щур Олександр Валерійович </t>
  </si>
  <si>
    <t xml:space="preserve">Юхимчук Іван Миколайович</t>
  </si>
  <si>
    <t xml:space="preserve">Ярема Світлана Василівна</t>
  </si>
  <si>
    <t xml:space="preserve">Ярощук Юрій Анатолійович </t>
  </si>
  <si>
    <t xml:space="preserve">Разом </t>
  </si>
  <si>
    <t xml:space="preserve">Загальна сума касових видатків за затвердженими актами, грн</t>
  </si>
  <si>
    <t xml:space="preserve"> </t>
  </si>
  <si>
    <t xml:space="preserve">Самардак Катерина Володимирівна </t>
  </si>
  <si>
    <t xml:space="preserve">Боротюк Олександр Олександрович</t>
  </si>
  <si>
    <t xml:space="preserve">Дремлюга Юрій Сергійович</t>
  </si>
  <si>
    <t xml:space="preserve">Захарець Олександр Володимирович</t>
  </si>
  <si>
    <t xml:space="preserve">Оніщук Святослав Петрович</t>
  </si>
  <si>
    <t xml:space="preserve">Рудик Віталій Романович</t>
  </si>
  <si>
    <t xml:space="preserve">Сав'як Василь Васильович</t>
  </si>
  <si>
    <t xml:space="preserve">15/02-18 від 01.02.2018</t>
  </si>
  <si>
    <t xml:space="preserve">Адвокатське бюро Барилюк Алли Іванівни</t>
  </si>
  <si>
    <t xml:space="preserve">26/02-18 від 07.02.2018</t>
  </si>
  <si>
    <t xml:space="preserve">Бодрягов Віктор Сергійович</t>
  </si>
  <si>
    <t xml:space="preserve">34/02-18 від 07.02.2018</t>
  </si>
  <si>
    <t xml:space="preserve">42/02-18 від 20.02.2018</t>
  </si>
  <si>
    <t xml:space="preserve">37/02-18 від 07.02.2018</t>
  </si>
  <si>
    <t xml:space="preserve">Адвокатське бюро Губара Володимира</t>
  </si>
  <si>
    <t xml:space="preserve">16/02-18 від 07.02.2018</t>
  </si>
  <si>
    <t xml:space="preserve">Адвокатське бюро Губар Наталії</t>
  </si>
  <si>
    <t xml:space="preserve">14/02-18 від 01.02.2018</t>
  </si>
  <si>
    <t xml:space="preserve">Адвокатське бюро "Юрія Дремлюги"</t>
  </si>
  <si>
    <t xml:space="preserve">47/02-18 від 20.02.2018</t>
  </si>
  <si>
    <t xml:space="preserve">27/02-18 від 07.02.2018</t>
  </si>
  <si>
    <t xml:space="preserve">17/02-18 від 07.02.2018</t>
  </si>
  <si>
    <t xml:space="preserve">07/02-18 від 01.02.2018</t>
  </si>
  <si>
    <t xml:space="preserve">Кузьмарук Олександр Сергійович</t>
  </si>
  <si>
    <t xml:space="preserve">35/02-18 від 07.02.2018</t>
  </si>
  <si>
    <t xml:space="preserve">39/02-18 від 20.02.2018</t>
  </si>
  <si>
    <t xml:space="preserve">02/02-18 від 01.02.2018</t>
  </si>
  <si>
    <t xml:space="preserve">11/02-18 від 01.02.2018</t>
  </si>
  <si>
    <t xml:space="preserve">Адвокатське бюро  "Лютко та сини"</t>
  </si>
  <si>
    <t xml:space="preserve">05/02-18 від 01.02.2018</t>
  </si>
  <si>
    <t xml:space="preserve">41/02-18 від 20.02.2018</t>
  </si>
  <si>
    <t xml:space="preserve">04/02-18 від 01.02.2018</t>
  </si>
  <si>
    <t xml:space="preserve">АБ "Максимович та партнери"</t>
  </si>
  <si>
    <t xml:space="preserve">25/02-18 від 07.02.2018</t>
  </si>
  <si>
    <t xml:space="preserve">31/02-18 від 07.02.2018</t>
  </si>
  <si>
    <t xml:space="preserve">09/02-18 від 01.02.2018</t>
  </si>
  <si>
    <t xml:space="preserve">38/02-18 від 07.02.2018</t>
  </si>
  <si>
    <t xml:space="preserve">01/02-18 від 01.02.2018</t>
  </si>
  <si>
    <t xml:space="preserve">Осика Юрій Петрович</t>
  </si>
  <si>
    <t xml:space="preserve">49/02-18 від 20.02.2018</t>
  </si>
  <si>
    <t xml:space="preserve">32/02-18 від 07.02.2018</t>
  </si>
  <si>
    <t xml:space="preserve">10/02-18  від 01.02.2018</t>
  </si>
  <si>
    <t xml:space="preserve">24/02-18 від 07.02.2018</t>
  </si>
  <si>
    <t xml:space="preserve">28/02-18 від 07.02.2018</t>
  </si>
  <si>
    <t xml:space="preserve">36/02-18 від 07.02.2018</t>
  </si>
  <si>
    <t xml:space="preserve">АБ Арсена Протопович "Рюрикович та партнери"</t>
  </si>
  <si>
    <t xml:space="preserve">20/02-18 від 07.02.2018</t>
  </si>
  <si>
    <t xml:space="preserve">30/02-18 від 07.02.2018</t>
  </si>
  <si>
    <t xml:space="preserve">Рідченко Володимир Михайлович</t>
  </si>
  <si>
    <t xml:space="preserve">03/02-18 від 01.02.2018</t>
  </si>
  <si>
    <t xml:space="preserve">13/02-18 від 01.02.2018</t>
  </si>
  <si>
    <t xml:space="preserve">21/02-18 від 07.02.2018</t>
  </si>
  <si>
    <t xml:space="preserve">Адвокатське об'єднання "Істина"</t>
  </si>
  <si>
    <t xml:space="preserve">43/02-18 від 20.02.2018</t>
  </si>
  <si>
    <t xml:space="preserve">44/02-18 від 20.02.2018</t>
  </si>
  <si>
    <t xml:space="preserve">29/02-18 від 07.02.2018</t>
  </si>
  <si>
    <t xml:space="preserve">Симончук Іван Іванович</t>
  </si>
  <si>
    <t xml:space="preserve">22/02-18 від 07.02.2018</t>
  </si>
  <si>
    <t xml:space="preserve">23/02-18 від 07.02.2018</t>
  </si>
  <si>
    <t xml:space="preserve">48/02-18 від 20.02.2018</t>
  </si>
  <si>
    <t xml:space="preserve">19/02-18 від 07.02.2018</t>
  </si>
  <si>
    <t xml:space="preserve">46/02-18 від 20.02.2018</t>
  </si>
  <si>
    <t xml:space="preserve">33/02-18 від 07.02.2018</t>
  </si>
  <si>
    <t xml:space="preserve">51/02-18 від 21.02.2018</t>
  </si>
  <si>
    <t xml:space="preserve">12/02-18 від 01.02.2018</t>
  </si>
  <si>
    <t xml:space="preserve">18/02-18 від 07.02.2018</t>
  </si>
  <si>
    <t xml:space="preserve">50/02-18 від 21.02.2018</t>
  </si>
  <si>
    <t xml:space="preserve">06/02-18 від 01.02.2018</t>
  </si>
  <si>
    <t xml:space="preserve">08/02-18 від 01.02.2018</t>
  </si>
  <si>
    <t xml:space="preserve">Захарчук Микола Іванович</t>
  </si>
  <si>
    <t xml:space="preserve">Ковташ Василь Данилович</t>
  </si>
  <si>
    <t xml:space="preserve">Кругліцька Валентина Михайлівна</t>
  </si>
  <si>
    <t xml:space="preserve">Павлюк Ірина Анатоліївна</t>
  </si>
  <si>
    <t xml:space="preserve">Савенко Тетяна Миколаївна</t>
  </si>
  <si>
    <t xml:space="preserve">сума  за прийнятими актами</t>
  </si>
  <si>
    <t xml:space="preserve">Стефанський Валерій Мирославович</t>
  </si>
  <si>
    <t xml:space="preserve">10/03-17 від 22.02.2018</t>
  </si>
  <si>
    <t xml:space="preserve">Бідюк Тетяна В'ячеславівна</t>
  </si>
  <si>
    <t xml:space="preserve">20/03-17 від 21.03.2018</t>
  </si>
  <si>
    <t xml:space="preserve">16/03-17 від 15.03.2018</t>
  </si>
  <si>
    <t xml:space="preserve">Ващишин Олександр Петрович</t>
  </si>
  <si>
    <t xml:space="preserve">14/03-17 від 14.03.2018</t>
  </si>
  <si>
    <t xml:space="preserve">18/03-17 від 16.03.2018</t>
  </si>
  <si>
    <t xml:space="preserve">1/03-17 від 22.02.2018</t>
  </si>
  <si>
    <t xml:space="preserve">5/03-17 від 22.02.2018</t>
  </si>
  <si>
    <t xml:space="preserve">13/03-17 від 13.03.2018</t>
  </si>
  <si>
    <t xml:space="preserve">7/03-17 від 22.02.2018</t>
  </si>
  <si>
    <t xml:space="preserve">.</t>
  </si>
  <si>
    <t xml:space="preserve">9/03-17 від 22.02.2018</t>
  </si>
  <si>
    <t xml:space="preserve">12/03-17  від 13.03.2018</t>
  </si>
  <si>
    <t xml:space="preserve">15/03-17 від 14.03.2018</t>
  </si>
  <si>
    <t xml:space="preserve">Ремовський Станіслав Валерійович</t>
  </si>
  <si>
    <t xml:space="preserve">3/03-17 від 22.02.2018</t>
  </si>
  <si>
    <t xml:space="preserve">6/03-17 від 22.02.2018</t>
  </si>
  <si>
    <t xml:space="preserve">8/03-17 від 22.02.2018</t>
  </si>
  <si>
    <t xml:space="preserve">19/03-17 від 21.03.2018</t>
  </si>
  <si>
    <t xml:space="preserve">11/03-17 від 22.02.2018</t>
  </si>
  <si>
    <t xml:space="preserve">Корицька Наталія Кузьмівна</t>
  </si>
  <si>
    <t xml:space="preserve">60/02-18 від 22.03.2018</t>
  </si>
  <si>
    <t xml:space="preserve">Шевчук Віктор Миколайович</t>
  </si>
  <si>
    <t xml:space="preserve">40/02-18 від 20.02.2018</t>
  </si>
  <si>
    <t xml:space="preserve">Загальна заборгованість (в т.ч. незареєстрована в органах ДКСУ)</t>
  </si>
  <si>
    <t xml:space="preserve">Марчук Руслан Іванович</t>
  </si>
  <si>
    <t xml:space="preserve">61/2-18 від 22.03.2018</t>
  </si>
  <si>
    <t xml:space="preserve">Адвокатське бюро "Осики Юрія Петровича"</t>
  </si>
  <si>
    <t xml:space="preserve">смт. Рокитне</t>
  </si>
  <si>
    <t xml:space="preserve">Адвокатське бюро "Савенко Т.М."</t>
  </si>
  <si>
    <t xml:space="preserve">смт. Володимирець</t>
  </si>
  <si>
    <t xml:space="preserve">АБ </t>
  </si>
  <si>
    <t xml:space="preserve">Адвокатське бюро "Симончука Івана Івановича"</t>
  </si>
  <si>
    <t xml:space="preserve">м. Сарни</t>
  </si>
  <si>
    <t xml:space="preserve">55/02-18 від 01.03.2018</t>
  </si>
  <si>
    <t xml:space="preserve">57/02-18 від 12.03.2018</t>
  </si>
  <si>
    <t xml:space="preserve">59/02-18 від 21.03.2018</t>
  </si>
  <si>
    <t xml:space="preserve">Іовчик Оксана Анатоліївна</t>
  </si>
  <si>
    <t xml:space="preserve">м.Рівне </t>
  </si>
  <si>
    <t xml:space="preserve">62/02-18 від 28.03.2018</t>
  </si>
  <si>
    <t xml:space="preserve">Зуйков Олег Геннадійович</t>
  </si>
  <si>
    <t xml:space="preserve">06/02-17 від 01.03.2017</t>
  </si>
  <si>
    <t xml:space="preserve">61/02-18 від 22.03.2018</t>
  </si>
  <si>
    <t xml:space="preserve">63/02-1/ від 02.04.2018</t>
  </si>
  <si>
    <t xml:space="preserve">54/02-18 від 01.03.2018</t>
  </si>
  <si>
    <t xml:space="preserve">64/02-18 від 05.04.2018</t>
  </si>
  <si>
    <t xml:space="preserve">56/02-18 від 12.03.2018</t>
  </si>
  <si>
    <t xml:space="preserve">  </t>
  </si>
  <si>
    <t xml:space="preserve">53/02-18 від 26.02.2018</t>
  </si>
  <si>
    <t xml:space="preserve">м. Березне</t>
  </si>
  <si>
    <t xml:space="preserve">м. Дубровиця</t>
  </si>
  <si>
    <t xml:space="preserve">Адвокатське бюро "Кругліцької Валентини"</t>
  </si>
  <si>
    <t xml:space="preserve">67/02-18 від 19.04.2018</t>
  </si>
  <si>
    <t xml:space="preserve">Полюхович Оксана Іванівна</t>
  </si>
  <si>
    <t xml:space="preserve">Адвокатське бюро "Оксани Полюхович"</t>
  </si>
  <si>
    <t xml:space="preserve">м. Вараш</t>
  </si>
  <si>
    <t xml:space="preserve">17/03-17 від 15.03.2018</t>
  </si>
  <si>
    <t xml:space="preserve">65/02-18 від 12.04.2018</t>
  </si>
  <si>
    <t xml:space="preserve">Шендера Олена Миколаївна</t>
  </si>
  <si>
    <t xml:space="preserve">66/02-18 від 19.04.2018</t>
  </si>
  <si>
    <t xml:space="preserve">Яскевич Федір Олександрович</t>
  </si>
  <si>
    <t xml:space="preserve">    </t>
  </si>
  <si>
    <t xml:space="preserve">Боржецький Олександр Леонідович</t>
  </si>
  <si>
    <t xml:space="preserve">Бурма Олексій Віталійович</t>
  </si>
  <si>
    <t xml:space="preserve">Бідюк Світлана Віталіївна</t>
  </si>
  <si>
    <t xml:space="preserve">Парчук Сергій Васильович</t>
  </si>
  <si>
    <t xml:space="preserve">Іванців Михайло Романович</t>
  </si>
  <si>
    <t xml:space="preserve">Таборовець Андрій Петрович</t>
  </si>
  <si>
    <t xml:space="preserve">Ярмошик Валерій Григорович</t>
  </si>
  <si>
    <t xml:space="preserve">                                          </t>
  </si>
  <si>
    <t xml:space="preserve">704.80</t>
  </si>
  <si>
    <t xml:space="preserve">7981.86</t>
  </si>
  <si>
    <t xml:space="preserve">7142.80</t>
  </si>
  <si>
    <t xml:space="preserve">12399.95</t>
  </si>
  <si>
    <t xml:space="preserve">1762.00</t>
  </si>
  <si>
    <t xml:space="preserve">Перетятко Анатолій Леонідович</t>
  </si>
  <si>
    <t xml:space="preserve">20630.60</t>
  </si>
  <si>
    <t xml:space="preserve">13991.60</t>
  </si>
  <si>
    <t xml:space="preserve">Цісар Ірина Валентинівна</t>
  </si>
</sst>
</file>

<file path=xl/styles.xml><?xml version="1.0" encoding="utf-8"?>
<styleSheet xmlns="http://schemas.openxmlformats.org/spreadsheetml/2006/main">
  <numFmts count="6">
    <numFmt numFmtId="164" formatCode="General"/>
    <numFmt numFmtId="165" formatCode="DD/MM/YYYY"/>
    <numFmt numFmtId="166" formatCode="0.00"/>
    <numFmt numFmtId="167" formatCode="#,##0.00"/>
    <numFmt numFmtId="168" formatCode="0"/>
    <numFmt numFmtId="169" formatCode="#,##0.00;\(#,##0.00\)"/>
  </numFmts>
  <fonts count="18">
    <font>
      <sz val="11"/>
      <color rgb="FF000000"/>
      <name val="Calibri"/>
      <family val="0"/>
      <charset val="1"/>
    </font>
    <font>
      <sz val="10"/>
      <name val="Arial"/>
      <family val="0"/>
      <charset val="204"/>
    </font>
    <font>
      <sz val="10"/>
      <name val="Arial"/>
      <family val="0"/>
      <charset val="204"/>
    </font>
    <font>
      <sz val="10"/>
      <name val="Arial"/>
      <family val="0"/>
      <charset val="204"/>
    </font>
    <font>
      <b val="true"/>
      <sz val="11"/>
      <color rgb="FF000000"/>
      <name val="Calibri"/>
      <family val="0"/>
      <charset val="1"/>
    </font>
    <font>
      <b val="true"/>
      <u val="single"/>
      <sz val="11"/>
      <color rgb="FF000000"/>
      <name val="Calibri"/>
      <family val="0"/>
      <charset val="1"/>
    </font>
    <font>
      <sz val="8"/>
      <color rgb="FF000000"/>
      <name val="Calibri"/>
      <family val="0"/>
      <charset val="1"/>
    </font>
    <font>
      <sz val="10"/>
      <color rgb="FF000000"/>
      <name val="Calibri"/>
      <family val="0"/>
      <charset val="1"/>
    </font>
    <font>
      <b val="true"/>
      <sz val="10"/>
      <color rgb="FF000000"/>
      <name val="Calibri"/>
      <family val="0"/>
      <charset val="1"/>
    </font>
    <font>
      <i val="true"/>
      <sz val="10"/>
      <color rgb="FF000000"/>
      <name val="Calibri"/>
      <family val="0"/>
      <charset val="1"/>
    </font>
    <font>
      <sz val="12"/>
      <color rgb="FF000000"/>
      <name val="Calibri"/>
      <family val="0"/>
      <charset val="1"/>
    </font>
    <font>
      <sz val="10"/>
      <name val="Calibri"/>
      <family val="0"/>
      <charset val="1"/>
    </font>
    <font>
      <sz val="11"/>
      <name val="Calibri"/>
      <family val="0"/>
      <charset val="1"/>
    </font>
    <font>
      <sz val="11"/>
      <color rgb="FF385623"/>
      <name val="Calibri"/>
      <family val="0"/>
      <charset val="1"/>
    </font>
    <font>
      <sz val="11"/>
      <name val="Cambria"/>
      <family val="0"/>
      <charset val="1"/>
    </font>
    <font>
      <sz val="11"/>
      <color rgb="FFFF0000"/>
      <name val="Calibri"/>
      <family val="0"/>
      <charset val="1"/>
    </font>
    <font>
      <sz val="11"/>
      <color rgb="FF000000"/>
      <name val="Cambria"/>
      <family val="0"/>
      <charset val="1"/>
    </font>
    <font>
      <i val="true"/>
      <sz val="11"/>
      <color rgb="FF000000"/>
      <name val="Calibri"/>
      <family val="0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A8D08D"/>
        <bgColor rgb="FF99CCFF"/>
      </patternFill>
    </fill>
  </fills>
  <borders count="45">
    <border diagonalUp="false" diagonalDown="false">
      <left/>
      <right/>
      <top/>
      <bottom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/>
      <right style="thin"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2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top" textRotation="0" wrapText="tru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top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top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8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8" fillId="2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9" fillId="2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9" fillId="2" borderId="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9" fillId="2" borderId="9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1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12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2" borderId="12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7" fillId="2" borderId="1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1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1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7" fillId="2" borderId="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7" fillId="2" borderId="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7" fillId="2" borderId="9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6" fontId="7" fillId="2" borderId="16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1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1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17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11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2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2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1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1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2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1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2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11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6" fontId="12" fillId="2" borderId="13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11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2" fillId="2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4" fillId="0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4" fillId="0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8" fillId="3" borderId="2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8" fillId="3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3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0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1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2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2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2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1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2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11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2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0" fillId="2" borderId="29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1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1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6" fontId="12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2" borderId="3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2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9" fillId="2" borderId="3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2" fillId="2" borderId="3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1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1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34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2" borderId="2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2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2" borderId="3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2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3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2" fillId="2" borderId="1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2" fillId="2" borderId="2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4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1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" fillId="0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9" fontId="4" fillId="0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2" borderId="3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3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3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4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4" fillId="0" borderId="3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" fillId="2" borderId="4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2" borderId="1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2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0" fillId="2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6" fontId="12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" fillId="0" borderId="4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" fillId="0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7" fontId="4" fillId="0" borderId="44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2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3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1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4" fillId="2" borderId="2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4" fillId="2" borderId="3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4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0" fillId="2" borderId="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2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4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6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2" borderId="7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2" borderId="8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2" borderId="3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2" borderId="9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2" borderId="13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1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16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11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5" fontId="12" fillId="2" borderId="1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2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0" fillId="2" borderId="15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2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1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5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0" fillId="2" borderId="4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5" fontId="12" fillId="2" borderId="1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2" fillId="2" borderId="20" xfId="0" applyFont="true" applyBorder="true" applyAlignment="true" applyProtection="false">
      <alignment horizontal="center" vertical="center" textRotation="0" wrapText="tru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8D08D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8562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worksheet" Target="worksheets/sheet34.xml"/><Relationship Id="rId36" Type="http://schemas.openxmlformats.org/officeDocument/2006/relationships/worksheet" Target="worksheets/sheet35.xml"/><Relationship Id="rId37" Type="http://schemas.openxmlformats.org/officeDocument/2006/relationships/worksheet" Target="worksheets/sheet36.xml"/><Relationship Id="rId38" Type="http://schemas.openxmlformats.org/officeDocument/2006/relationships/worksheet" Target="worksheets/sheet37.xml"/><Relationship Id="rId39" Type="http://schemas.openxmlformats.org/officeDocument/2006/relationships/worksheet" Target="worksheets/sheet38.xml"/><Relationship Id="rId40" Type="http://schemas.openxmlformats.org/officeDocument/2006/relationships/worksheet" Target="worksheets/sheet39.xml"/><Relationship Id="rId41" Type="http://schemas.openxmlformats.org/officeDocument/2006/relationships/worksheet" Target="worksheets/sheet40.xml"/><Relationship Id="rId42" Type="http://schemas.openxmlformats.org/officeDocument/2006/relationships/worksheet" Target="worksheets/sheet41.xml"/><Relationship Id="rId43" Type="http://schemas.openxmlformats.org/officeDocument/2006/relationships/worksheet" Target="worksheets/sheet42.xml"/><Relationship Id="rId44" Type="http://schemas.openxmlformats.org/officeDocument/2006/relationships/worksheet" Target="worksheets/sheet43.xml"/><Relationship Id="rId45" Type="http://schemas.openxmlformats.org/officeDocument/2006/relationships/worksheet" Target="worksheets/sheet44.xml"/><Relationship Id="rId46" Type="http://schemas.openxmlformats.org/officeDocument/2006/relationships/worksheet" Target="worksheets/sheet45.xml"/><Relationship Id="rId47" Type="http://schemas.openxmlformats.org/officeDocument/2006/relationships/worksheet" Target="worksheets/sheet46.xml"/><Relationship Id="rId48" Type="http://schemas.openxmlformats.org/officeDocument/2006/relationships/worksheet" Target="worksheets/sheet47.xml"/><Relationship Id="rId49" Type="http://schemas.openxmlformats.org/officeDocument/2006/relationships/worksheet" Target="worksheets/sheet48.xml"/><Relationship Id="rId50" Type="http://schemas.openxmlformats.org/officeDocument/2006/relationships/worksheet" Target="worksheets/sheet49.xml"/><Relationship Id="rId51" Type="http://schemas.openxmlformats.org/officeDocument/2006/relationships/worksheet" Target="worksheets/sheet50.xml"/><Relationship Id="rId52" Type="http://schemas.openxmlformats.org/officeDocument/2006/relationships/worksheet" Target="worksheets/sheet51.xml"/><Relationship Id="rId53" Type="http://schemas.openxmlformats.org/officeDocument/2006/relationships/worksheet" Target="worksheets/sheet52.xml"/><Relationship Id="rId5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20"/>
  <sheetViews>
    <sheetView showFormulas="false" showGridLines="true" showRowColHeaders="true" showZeros="true" rightToLeft="false" tabSelected="false" showOutlineSymbols="true" defaultGridColor="true" view="normal" topLeftCell="A13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22"/>
      <c r="I9" s="23"/>
      <c r="J9" s="23"/>
      <c r="K9" s="24" t="n">
        <f aca="false">L9+M9</f>
        <v>0</v>
      </c>
      <c r="L9" s="24"/>
      <c r="M9" s="24"/>
      <c r="N9" s="23"/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26"/>
      <c r="I10" s="28"/>
      <c r="J10" s="28"/>
      <c r="K10" s="29" t="n">
        <f aca="false">L10+M10</f>
        <v>0</v>
      </c>
      <c r="L10" s="29"/>
      <c r="M10" s="30"/>
      <c r="N10" s="31"/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38" t="n">
        <v>1</v>
      </c>
      <c r="I11" s="39"/>
      <c r="J11" s="39"/>
      <c r="K11" s="40" t="n">
        <f aca="false">L11+M11</f>
        <v>0</v>
      </c>
      <c r="L11" s="40"/>
      <c r="M11" s="40"/>
      <c r="N11" s="39"/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42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22" t="n">
        <v>1</v>
      </c>
      <c r="I13" s="23"/>
      <c r="J13" s="23"/>
      <c r="K13" s="24" t="n">
        <f aca="false">L13+M13</f>
        <v>0</v>
      </c>
      <c r="L13" s="24"/>
      <c r="M13" s="24"/>
      <c r="N13" s="23"/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26"/>
      <c r="I14" s="28"/>
      <c r="J14" s="28"/>
      <c r="K14" s="29" t="n">
        <f aca="false">L14+M14</f>
        <v>0</v>
      </c>
      <c r="L14" s="29"/>
      <c r="M14" s="30"/>
      <c r="N14" s="28"/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38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42" t="n">
        <v>2</v>
      </c>
      <c r="I16" s="45"/>
      <c r="J16" s="45"/>
      <c r="K16" s="46" t="n">
        <f aca="false">L16+M16</f>
        <v>0</v>
      </c>
      <c r="L16" s="46"/>
      <c r="M16" s="47"/>
      <c r="N16" s="44"/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22"/>
      <c r="I17" s="23"/>
      <c r="J17" s="23"/>
      <c r="K17" s="24" t="n">
        <f aca="false">L17+M17</f>
        <v>0</v>
      </c>
      <c r="L17" s="24"/>
      <c r="M17" s="24"/>
      <c r="N17" s="23"/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26"/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38" t="n">
        <v>2</v>
      </c>
      <c r="I19" s="39"/>
      <c r="J19" s="39"/>
      <c r="K19" s="40" t="n">
        <f aca="false">L19+M19</f>
        <v>0</v>
      </c>
      <c r="L19" s="40"/>
      <c r="M19" s="40"/>
      <c r="N19" s="39"/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26"/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38" t="n">
        <v>4</v>
      </c>
      <c r="I21" s="61"/>
      <c r="J21" s="61"/>
      <c r="K21" s="62" t="n">
        <f aca="false">L21+M21</f>
        <v>0</v>
      </c>
      <c r="L21" s="62"/>
      <c r="M21" s="62"/>
      <c r="N21" s="61"/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42"/>
      <c r="I22" s="64"/>
      <c r="J22" s="64"/>
      <c r="K22" s="65" t="n">
        <f aca="false">L22+M22</f>
        <v>0</v>
      </c>
      <c r="L22" s="65"/>
      <c r="M22" s="65"/>
      <c r="N22" s="64"/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22"/>
      <c r="I23" s="67"/>
      <c r="J23" s="67"/>
      <c r="K23" s="68" t="n">
        <f aca="false">L23+M23</f>
        <v>0</v>
      </c>
      <c r="L23" s="68"/>
      <c r="M23" s="68"/>
      <c r="N23" s="67"/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26"/>
      <c r="G24" s="27" t="s">
        <v>26</v>
      </c>
      <c r="H24" s="26"/>
      <c r="I24" s="58"/>
      <c r="J24" s="58"/>
      <c r="K24" s="59" t="n">
        <f aca="false">L24+M24</f>
        <v>0</v>
      </c>
      <c r="L24" s="59"/>
      <c r="M24" s="59"/>
      <c r="N24" s="58"/>
      <c r="O24" s="59" t="n">
        <f aca="false">P24+Q24</f>
        <v>0</v>
      </c>
      <c r="P24" s="59"/>
      <c r="Q24" s="60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40</v>
      </c>
      <c r="C25" s="19" t="s">
        <v>38</v>
      </c>
      <c r="D25" s="19" t="s">
        <v>41</v>
      </c>
      <c r="E25" s="19" t="s">
        <v>42</v>
      </c>
      <c r="F25" s="20"/>
      <c r="G25" s="21" t="s">
        <v>22</v>
      </c>
      <c r="H25" s="22"/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26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5.75" hidden="false" customHeight="true" outlineLevel="0" collapsed="false">
      <c r="A27" s="54"/>
      <c r="B27" s="55" t="s">
        <v>43</v>
      </c>
      <c r="C27" s="56" t="s">
        <v>33</v>
      </c>
      <c r="D27" s="56" t="s">
        <v>44</v>
      </c>
      <c r="E27" s="56" t="s">
        <v>45</v>
      </c>
      <c r="F27" s="36"/>
      <c r="G27" s="21" t="s">
        <v>22</v>
      </c>
      <c r="H27" s="38" t="n">
        <v>2</v>
      </c>
      <c r="I27" s="61"/>
      <c r="J27" s="61"/>
      <c r="K27" s="62" t="n">
        <f aca="false">L27+M27</f>
        <v>0</v>
      </c>
      <c r="L27" s="62"/>
      <c r="M27" s="62"/>
      <c r="N27" s="61"/>
      <c r="O27" s="62" t="n">
        <f aca="false">P27+Q27</f>
        <v>0</v>
      </c>
      <c r="P27" s="62"/>
      <c r="Q27" s="63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customFormat="false" ht="15.75" hidden="false" customHeight="true" outlineLevel="0" collapsed="false">
      <c r="A28" s="54"/>
      <c r="B28" s="55"/>
      <c r="C28" s="55"/>
      <c r="D28" s="55"/>
      <c r="E28" s="55"/>
      <c r="F28" s="26"/>
      <c r="G28" s="27" t="s">
        <v>26</v>
      </c>
      <c r="H28" s="26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" hidden="false" customHeight="true" outlineLevel="0" collapsed="false">
      <c r="A29" s="33"/>
      <c r="B29" s="34" t="s">
        <v>46</v>
      </c>
      <c r="C29" s="35" t="s">
        <v>20</v>
      </c>
      <c r="D29" s="35"/>
      <c r="E29" s="35" t="s">
        <v>25</v>
      </c>
      <c r="F29" s="36"/>
      <c r="G29" s="21" t="s">
        <v>22</v>
      </c>
      <c r="H29" s="38"/>
      <c r="I29" s="61"/>
      <c r="J29" s="61"/>
      <c r="K29" s="62" t="n">
        <f aca="false">L29+M29</f>
        <v>0</v>
      </c>
      <c r="L29" s="62"/>
      <c r="M29" s="62"/>
      <c r="N29" s="61"/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5.75" hidden="false" customHeight="true" outlineLevel="0" collapsed="false">
      <c r="A30" s="33"/>
      <c r="B30" s="34"/>
      <c r="C30" s="34"/>
      <c r="D30" s="34"/>
      <c r="E30" s="34"/>
      <c r="F30" s="71"/>
      <c r="G30" s="43" t="s">
        <v>26</v>
      </c>
      <c r="H30" s="42"/>
      <c r="I30" s="64"/>
      <c r="J30" s="64"/>
      <c r="K30" s="65" t="n">
        <f aca="false">L30+M30</f>
        <v>0</v>
      </c>
      <c r="L30" s="65"/>
      <c r="M30" s="65"/>
      <c r="N30" s="64"/>
      <c r="O30" s="65" t="n">
        <f aca="false">P30+Q30</f>
        <v>0</v>
      </c>
      <c r="P30" s="65"/>
      <c r="Q30" s="66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72"/>
      <c r="B31" s="73" t="s">
        <v>47</v>
      </c>
      <c r="C31" s="74" t="s">
        <v>20</v>
      </c>
      <c r="D31" s="74"/>
      <c r="E31" s="75" t="s">
        <v>25</v>
      </c>
      <c r="F31" s="22"/>
      <c r="G31" s="21" t="s">
        <v>22</v>
      </c>
      <c r="H31" s="76" t="n">
        <v>1</v>
      </c>
      <c r="I31" s="67"/>
      <c r="J31" s="67"/>
      <c r="K31" s="68" t="n">
        <f aca="false">L31+M31</f>
        <v>0</v>
      </c>
      <c r="L31" s="68"/>
      <c r="M31" s="68"/>
      <c r="N31" s="67"/>
      <c r="O31" s="68" t="n">
        <f aca="false">P31+Q31</f>
        <v>0</v>
      </c>
      <c r="P31" s="68"/>
      <c r="Q31" s="69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72"/>
      <c r="B32" s="73"/>
      <c r="C32" s="73"/>
      <c r="D32" s="73"/>
      <c r="E32" s="75"/>
      <c r="F32" s="42"/>
      <c r="G32" s="43" t="s">
        <v>26</v>
      </c>
      <c r="H32" s="77"/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17"/>
      <c r="B33" s="18" t="s">
        <v>48</v>
      </c>
      <c r="C33" s="19" t="s">
        <v>20</v>
      </c>
      <c r="D33" s="19"/>
      <c r="E33" s="19" t="s">
        <v>25</v>
      </c>
      <c r="F33" s="20"/>
      <c r="G33" s="21" t="s">
        <v>22</v>
      </c>
      <c r="H33" s="22"/>
      <c r="I33" s="67"/>
      <c r="J33" s="67"/>
      <c r="K33" s="68" t="n">
        <f aca="false">L33+M33</f>
        <v>0</v>
      </c>
      <c r="L33" s="68"/>
      <c r="M33" s="68"/>
      <c r="N33" s="67"/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17"/>
      <c r="B34" s="18"/>
      <c r="C34" s="18"/>
      <c r="D34" s="18"/>
      <c r="E34" s="18"/>
      <c r="F34" s="26"/>
      <c r="G34" s="27" t="s">
        <v>26</v>
      </c>
      <c r="H34" s="26"/>
      <c r="I34" s="58"/>
      <c r="J34" s="58"/>
      <c r="K34" s="59" t="n">
        <f aca="false">L34+M34</f>
        <v>0</v>
      </c>
      <c r="L34" s="59"/>
      <c r="M34" s="59"/>
      <c r="N34" s="58"/>
      <c r="O34" s="59" t="n">
        <f aca="false">P34+Q34</f>
        <v>0</v>
      </c>
      <c r="P34" s="59"/>
      <c r="Q34" s="60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" hidden="false" customHeight="true" outlineLevel="0" collapsed="false">
      <c r="A35" s="54"/>
      <c r="B35" s="55" t="s">
        <v>49</v>
      </c>
      <c r="C35" s="56" t="s">
        <v>20</v>
      </c>
      <c r="D35" s="78"/>
      <c r="E35" s="56" t="s">
        <v>50</v>
      </c>
      <c r="F35" s="36"/>
      <c r="G35" s="21" t="s">
        <v>22</v>
      </c>
      <c r="H35" s="38"/>
      <c r="I35" s="61"/>
      <c r="J35" s="61"/>
      <c r="K35" s="62" t="n">
        <f aca="false">L35+M35</f>
        <v>0</v>
      </c>
      <c r="L35" s="62"/>
      <c r="M35" s="62"/>
      <c r="N35" s="61"/>
      <c r="O35" s="62" t="n">
        <f aca="false">P35+Q35</f>
        <v>0</v>
      </c>
      <c r="P35" s="62"/>
      <c r="Q35" s="63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57"/>
      <c r="G36" s="27" t="s">
        <v>26</v>
      </c>
      <c r="H36" s="26"/>
      <c r="I36" s="58"/>
      <c r="J36" s="58"/>
      <c r="K36" s="59" t="n">
        <f aca="false">L36+M36</f>
        <v>0</v>
      </c>
      <c r="L36" s="59"/>
      <c r="M36" s="59"/>
      <c r="N36" s="58"/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33"/>
      <c r="B37" s="34" t="s">
        <v>51</v>
      </c>
      <c r="C37" s="35" t="s">
        <v>20</v>
      </c>
      <c r="D37" s="35"/>
      <c r="E37" s="35" t="s">
        <v>52</v>
      </c>
      <c r="F37" s="36"/>
      <c r="G37" s="21" t="s">
        <v>22</v>
      </c>
      <c r="H37" s="38"/>
      <c r="I37" s="61"/>
      <c r="J37" s="61"/>
      <c r="K37" s="62" t="n">
        <f aca="false">L37+M37</f>
        <v>0</v>
      </c>
      <c r="L37" s="62"/>
      <c r="M37" s="62"/>
      <c r="N37" s="61"/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43" t="s">
        <v>26</v>
      </c>
      <c r="H38" s="42"/>
      <c r="I38" s="64"/>
      <c r="J38" s="64"/>
      <c r="K38" s="65" t="n">
        <f aca="false">L38+M38</f>
        <v>0</v>
      </c>
      <c r="L38" s="65"/>
      <c r="M38" s="65"/>
      <c r="N38" s="64"/>
      <c r="O38" s="65" t="n">
        <f aca="false">P38+Q38</f>
        <v>0</v>
      </c>
      <c r="P38" s="65"/>
      <c r="Q38" s="66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17"/>
      <c r="B39" s="18" t="s">
        <v>53</v>
      </c>
      <c r="C39" s="19" t="s">
        <v>33</v>
      </c>
      <c r="D39" s="19" t="s">
        <v>54</v>
      </c>
      <c r="E39" s="19" t="s">
        <v>42</v>
      </c>
      <c r="F39" s="20"/>
      <c r="G39" s="21" t="s">
        <v>22</v>
      </c>
      <c r="H39" s="22"/>
      <c r="I39" s="67"/>
      <c r="J39" s="67"/>
      <c r="K39" s="68" t="n">
        <f aca="false">L39+M39</f>
        <v>0</v>
      </c>
      <c r="L39" s="68"/>
      <c r="M39" s="68"/>
      <c r="N39" s="67"/>
      <c r="O39" s="68" t="n">
        <f aca="false">P39+Q39</f>
        <v>0</v>
      </c>
      <c r="P39" s="68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17"/>
      <c r="B40" s="18"/>
      <c r="C40" s="18"/>
      <c r="D40" s="18"/>
      <c r="E40" s="18"/>
      <c r="F40" s="57"/>
      <c r="G40" s="27" t="s">
        <v>23</v>
      </c>
      <c r="H40" s="26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55</v>
      </c>
      <c r="C41" s="35" t="s">
        <v>20</v>
      </c>
      <c r="D41" s="35"/>
      <c r="E41" s="35" t="s">
        <v>25</v>
      </c>
      <c r="F41" s="38"/>
      <c r="G41" s="21" t="s">
        <v>22</v>
      </c>
      <c r="H41" s="38"/>
      <c r="I41" s="61"/>
      <c r="J41" s="61"/>
      <c r="K41" s="62" t="n">
        <f aca="false">L41+M41</f>
        <v>0</v>
      </c>
      <c r="L41" s="62"/>
      <c r="M41" s="62"/>
      <c r="N41" s="61"/>
      <c r="O41" s="62" t="n">
        <f aca="false">P41+Q41</f>
        <v>0</v>
      </c>
      <c r="P41" s="62"/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42"/>
      <c r="G42" s="43" t="s">
        <v>26</v>
      </c>
      <c r="H42" s="42"/>
      <c r="I42" s="64"/>
      <c r="J42" s="64"/>
      <c r="K42" s="65" t="n">
        <f aca="false">L42+M42</f>
        <v>0</v>
      </c>
      <c r="L42" s="65"/>
      <c r="M42" s="65"/>
      <c r="N42" s="64"/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.75" hidden="false" customHeight="true" outlineLevel="0" collapsed="false">
      <c r="A43" s="17"/>
      <c r="B43" s="18" t="s">
        <v>56</v>
      </c>
      <c r="C43" s="19" t="s">
        <v>33</v>
      </c>
      <c r="D43" s="19" t="s">
        <v>57</v>
      </c>
      <c r="E43" s="19" t="s">
        <v>25</v>
      </c>
      <c r="F43" s="20"/>
      <c r="G43" s="21" t="s">
        <v>22</v>
      </c>
      <c r="H43" s="22"/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/>
      <c r="G44" s="27" t="s">
        <v>26</v>
      </c>
      <c r="H44" s="26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58</v>
      </c>
      <c r="C45" s="35" t="s">
        <v>20</v>
      </c>
      <c r="D45" s="35"/>
      <c r="E45" s="35" t="s">
        <v>52</v>
      </c>
      <c r="F45" s="36"/>
      <c r="G45" s="21" t="s">
        <v>22</v>
      </c>
      <c r="H45" s="38"/>
      <c r="I45" s="61"/>
      <c r="J45" s="61"/>
      <c r="K45" s="62" t="n">
        <f aca="false">L45+M45</f>
        <v>0</v>
      </c>
      <c r="L45" s="62"/>
      <c r="M45" s="62"/>
      <c r="N45" s="61"/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43" t="s">
        <v>26</v>
      </c>
      <c r="H46" s="42"/>
      <c r="I46" s="64"/>
      <c r="J46" s="64"/>
      <c r="K46" s="65" t="n">
        <f aca="false">L46+M46</f>
        <v>0</v>
      </c>
      <c r="L46" s="65"/>
      <c r="M46" s="65"/>
      <c r="N46" s="64"/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72"/>
      <c r="B47" s="73" t="s">
        <v>59</v>
      </c>
      <c r="C47" s="74" t="s">
        <v>20</v>
      </c>
      <c r="D47" s="79"/>
      <c r="E47" s="74" t="s">
        <v>25</v>
      </c>
      <c r="F47" s="22"/>
      <c r="G47" s="21" t="s">
        <v>22</v>
      </c>
      <c r="H47" s="22"/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72"/>
      <c r="B48" s="73"/>
      <c r="C48" s="73"/>
      <c r="D48" s="73"/>
      <c r="E48" s="73"/>
      <c r="F48" s="71"/>
      <c r="G48" s="43" t="s">
        <v>26</v>
      </c>
      <c r="H48" s="42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60</v>
      </c>
      <c r="C49" s="19" t="s">
        <v>20</v>
      </c>
      <c r="D49" s="19"/>
      <c r="E49" s="19" t="s">
        <v>21</v>
      </c>
      <c r="F49" s="22"/>
      <c r="G49" s="21" t="s">
        <v>22</v>
      </c>
      <c r="H49" s="22"/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57"/>
      <c r="G50" s="27" t="s">
        <v>23</v>
      </c>
      <c r="H50" s="26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.75" hidden="false" customHeight="true" outlineLevel="0" collapsed="false">
      <c r="A51" s="33"/>
      <c r="B51" s="34" t="s">
        <v>61</v>
      </c>
      <c r="C51" s="35" t="s">
        <v>33</v>
      </c>
      <c r="D51" s="56" t="s">
        <v>62</v>
      </c>
      <c r="E51" s="35" t="s">
        <v>25</v>
      </c>
      <c r="F51" s="36"/>
      <c r="G51" s="21" t="s">
        <v>22</v>
      </c>
      <c r="H51" s="38"/>
      <c r="I51" s="61"/>
      <c r="J51" s="61"/>
      <c r="K51" s="62" t="n">
        <f aca="false">L51+M51</f>
        <v>0</v>
      </c>
      <c r="L51" s="62"/>
      <c r="M51" s="62"/>
      <c r="N51" s="61"/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56"/>
      <c r="E52" s="35"/>
      <c r="F52" s="42"/>
      <c r="G52" s="43" t="s">
        <v>26</v>
      </c>
      <c r="H52" s="42"/>
      <c r="I52" s="64"/>
      <c r="J52" s="64"/>
      <c r="K52" s="65" t="n">
        <f aca="false">L52+M52</f>
        <v>0</v>
      </c>
      <c r="L52" s="65"/>
      <c r="M52" s="65"/>
      <c r="N52" s="64"/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.75" hidden="false" customHeight="true" outlineLevel="0" collapsed="false">
      <c r="A53" s="72"/>
      <c r="B53" s="73" t="s">
        <v>63</v>
      </c>
      <c r="C53" s="74" t="s">
        <v>20</v>
      </c>
      <c r="D53" s="74"/>
      <c r="E53" s="74" t="s">
        <v>25</v>
      </c>
      <c r="F53" s="20"/>
      <c r="G53" s="21" t="s">
        <v>22</v>
      </c>
      <c r="H53" s="22"/>
      <c r="I53" s="67"/>
      <c r="J53" s="67"/>
      <c r="K53" s="68" t="n">
        <f aca="false">L53+M53</f>
        <v>0</v>
      </c>
      <c r="L53" s="68"/>
      <c r="M53" s="68"/>
      <c r="N53" s="67"/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42"/>
      <c r="G54" s="43" t="s">
        <v>26</v>
      </c>
      <c r="H54" s="42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64</v>
      </c>
      <c r="C55" s="74" t="s">
        <v>20</v>
      </c>
      <c r="D55" s="74"/>
      <c r="E55" s="74" t="s">
        <v>25</v>
      </c>
      <c r="F55" s="20"/>
      <c r="G55" s="21" t="s">
        <v>22</v>
      </c>
      <c r="H55" s="22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42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17"/>
      <c r="B57" s="18" t="s">
        <v>65</v>
      </c>
      <c r="C57" s="19" t="s">
        <v>33</v>
      </c>
      <c r="D57" s="19" t="s">
        <v>66</v>
      </c>
      <c r="E57" s="19" t="s">
        <v>67</v>
      </c>
      <c r="F57" s="20"/>
      <c r="G57" s="21" t="s">
        <v>22</v>
      </c>
      <c r="H57" s="22"/>
      <c r="I57" s="67"/>
      <c r="J57" s="67"/>
      <c r="K57" s="68" t="n">
        <f aca="false">L57+M57</f>
        <v>0</v>
      </c>
      <c r="L57" s="68"/>
      <c r="M57" s="68"/>
      <c r="N57" s="67"/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26"/>
      <c r="G58" s="27" t="s">
        <v>23</v>
      </c>
      <c r="H58" s="26" t="n">
        <v>1</v>
      </c>
      <c r="I58" s="58"/>
      <c r="J58" s="58"/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68</v>
      </c>
      <c r="C59" s="35" t="s">
        <v>20</v>
      </c>
      <c r="D59" s="35"/>
      <c r="E59" s="35" t="s">
        <v>69</v>
      </c>
      <c r="F59" s="38"/>
      <c r="G59" s="21" t="s">
        <v>22</v>
      </c>
      <c r="H59" s="38"/>
      <c r="I59" s="61"/>
      <c r="J59" s="61"/>
      <c r="K59" s="62" t="n">
        <f aca="false">L59+M59</f>
        <v>0</v>
      </c>
      <c r="L59" s="62"/>
      <c r="M59" s="62"/>
      <c r="N59" s="61"/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42"/>
      <c r="G60" s="43" t="s">
        <v>26</v>
      </c>
      <c r="H60" s="42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17"/>
      <c r="B61" s="18" t="s">
        <v>70</v>
      </c>
      <c r="C61" s="19" t="s">
        <v>20</v>
      </c>
      <c r="D61" s="19" t="s">
        <v>71</v>
      </c>
      <c r="E61" s="19" t="s">
        <v>25</v>
      </c>
      <c r="F61" s="20"/>
      <c r="G61" s="21" t="s">
        <v>22</v>
      </c>
      <c r="H61" s="22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26"/>
      <c r="G62" s="27" t="s">
        <v>26</v>
      </c>
      <c r="H62" s="26"/>
      <c r="I62" s="58"/>
      <c r="J62" s="58"/>
      <c r="K62" s="59" t="n">
        <f aca="false">L62+M62</f>
        <v>0</v>
      </c>
      <c r="L62" s="59"/>
      <c r="M62" s="59"/>
      <c r="N62" s="58"/>
      <c r="O62" s="59" t="n">
        <f aca="false">P62+Q62</f>
        <v>0</v>
      </c>
      <c r="P62" s="59"/>
      <c r="Q62" s="60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33"/>
      <c r="B63" s="34" t="s">
        <v>72</v>
      </c>
      <c r="C63" s="35" t="s">
        <v>20</v>
      </c>
      <c r="D63" s="35"/>
      <c r="E63" s="35" t="s">
        <v>52</v>
      </c>
      <c r="F63" s="36"/>
      <c r="G63" s="21" t="s">
        <v>22</v>
      </c>
      <c r="H63" s="38"/>
      <c r="I63" s="61"/>
      <c r="J63" s="61"/>
      <c r="K63" s="62" t="n">
        <f aca="false">L63+M63</f>
        <v>0</v>
      </c>
      <c r="L63" s="62"/>
      <c r="M63" s="62"/>
      <c r="N63" s="61"/>
      <c r="O63" s="62" t="n">
        <f aca="false">P63+Q63</f>
        <v>0</v>
      </c>
      <c r="P63" s="62"/>
      <c r="Q63" s="63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42"/>
      <c r="G64" s="43" t="s">
        <v>26</v>
      </c>
      <c r="H64" s="42"/>
      <c r="I64" s="64"/>
      <c r="J64" s="64"/>
      <c r="K64" s="65" t="n">
        <f aca="false">L64+M64</f>
        <v>0</v>
      </c>
      <c r="L64" s="65"/>
      <c r="M64" s="65"/>
      <c r="N64" s="64"/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17"/>
      <c r="B65" s="18" t="s">
        <v>73</v>
      </c>
      <c r="C65" s="19" t="s">
        <v>20</v>
      </c>
      <c r="D65" s="19"/>
      <c r="E65" s="19" t="s">
        <v>52</v>
      </c>
      <c r="F65" s="20"/>
      <c r="G65" s="21" t="s">
        <v>22</v>
      </c>
      <c r="H65" s="22"/>
      <c r="I65" s="67"/>
      <c r="J65" s="67"/>
      <c r="K65" s="68" t="n">
        <f aca="false">L65+M65</f>
        <v>0</v>
      </c>
      <c r="L65" s="68"/>
      <c r="M65" s="68"/>
      <c r="N65" s="67"/>
      <c r="O65" s="68" t="n">
        <f aca="false">P65+Q65</f>
        <v>0</v>
      </c>
      <c r="P65" s="68"/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26"/>
      <c r="G66" s="27" t="s">
        <v>26</v>
      </c>
      <c r="H66" s="26"/>
      <c r="I66" s="58"/>
      <c r="J66" s="58"/>
      <c r="K66" s="59" t="n">
        <f aca="false">L66+M66</f>
        <v>0</v>
      </c>
      <c r="L66" s="59"/>
      <c r="M66" s="59"/>
      <c r="N66" s="58"/>
      <c r="O66" s="59" t="n">
        <f aca="false">P66+Q66</f>
        <v>0</v>
      </c>
      <c r="P66" s="59"/>
      <c r="Q66" s="60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33"/>
      <c r="B67" s="34" t="s">
        <v>74</v>
      </c>
      <c r="C67" s="35" t="s">
        <v>33</v>
      </c>
      <c r="D67" s="35" t="s">
        <v>75</v>
      </c>
      <c r="E67" s="35" t="s">
        <v>25</v>
      </c>
      <c r="F67" s="36"/>
      <c r="G67" s="21" t="s">
        <v>22</v>
      </c>
      <c r="H67" s="38" t="n">
        <v>3</v>
      </c>
      <c r="I67" s="61"/>
      <c r="J67" s="61"/>
      <c r="K67" s="62" t="n">
        <f aca="false">L67+M67</f>
        <v>0</v>
      </c>
      <c r="L67" s="62"/>
      <c r="M67" s="62"/>
      <c r="N67" s="61"/>
      <c r="O67" s="62" t="n">
        <f aca="false">P67+Q67</f>
        <v>0</v>
      </c>
      <c r="P67" s="62"/>
      <c r="Q67" s="63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42"/>
      <c r="G68" s="43" t="s">
        <v>26</v>
      </c>
      <c r="H68" s="42"/>
      <c r="I68" s="64"/>
      <c r="J68" s="64"/>
      <c r="K68" s="65" t="n">
        <f aca="false">L68+M68</f>
        <v>0</v>
      </c>
      <c r="L68" s="65"/>
      <c r="M68" s="65"/>
      <c r="N68" s="64" t="n">
        <v>1</v>
      </c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76</v>
      </c>
      <c r="C69" s="74" t="s">
        <v>20</v>
      </c>
      <c r="D69" s="74"/>
      <c r="E69" s="74" t="s">
        <v>25</v>
      </c>
      <c r="F69" s="20"/>
      <c r="G69" s="21" t="s">
        <v>22</v>
      </c>
      <c r="H69" s="22"/>
      <c r="I69" s="67"/>
      <c r="J69" s="67"/>
      <c r="K69" s="68" t="n">
        <f aca="false">L69+M69</f>
        <v>0</v>
      </c>
      <c r="L69" s="68"/>
      <c r="M69" s="68"/>
      <c r="N69" s="67"/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42"/>
      <c r="G70" s="43" t="s">
        <v>26</v>
      </c>
      <c r="H70" s="42" t="n">
        <v>1</v>
      </c>
      <c r="I70" s="64"/>
      <c r="J70" s="64"/>
      <c r="K70" s="65" t="n">
        <f aca="false">L70+M70</f>
        <v>0</v>
      </c>
      <c r="L70" s="65"/>
      <c r="M70" s="65"/>
      <c r="N70" s="64"/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77</v>
      </c>
      <c r="C71" s="19" t="s">
        <v>38</v>
      </c>
      <c r="D71" s="19" t="s">
        <v>78</v>
      </c>
      <c r="E71" s="19" t="s">
        <v>25</v>
      </c>
      <c r="F71" s="22"/>
      <c r="G71" s="21" t="s">
        <v>22</v>
      </c>
      <c r="H71" s="22"/>
      <c r="I71" s="67"/>
      <c r="J71" s="67"/>
      <c r="K71" s="68" t="n">
        <f aca="false">L71+M71</f>
        <v>0</v>
      </c>
      <c r="L71" s="68"/>
      <c r="M71" s="68"/>
      <c r="N71" s="67" t="n">
        <v>1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80"/>
      <c r="G72" s="81" t="s">
        <v>26</v>
      </c>
      <c r="H72" s="80"/>
      <c r="I72" s="82"/>
      <c r="J72" s="82"/>
      <c r="K72" s="83" t="n">
        <f aca="false">L72+M72</f>
        <v>0</v>
      </c>
      <c r="L72" s="83"/>
      <c r="M72" s="83"/>
      <c r="N72" s="82" t="n">
        <v>3</v>
      </c>
      <c r="O72" s="83" t="n">
        <f aca="false">P72+Q72</f>
        <v>0</v>
      </c>
      <c r="P72" s="83"/>
      <c r="Q72" s="84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false" outlineLevel="0" collapsed="false">
      <c r="A73" s="17"/>
      <c r="B73" s="18"/>
      <c r="C73" s="18"/>
      <c r="D73" s="18"/>
      <c r="E73" s="18"/>
      <c r="F73" s="85"/>
      <c r="G73" s="86" t="s">
        <v>23</v>
      </c>
      <c r="H73" s="85"/>
      <c r="I73" s="58"/>
      <c r="J73" s="58"/>
      <c r="K73" s="59" t="n">
        <f aca="false">L73+M73</f>
        <v>0</v>
      </c>
      <c r="L73" s="59"/>
      <c r="M73" s="59"/>
      <c r="N73" s="58"/>
      <c r="O73" s="59" t="n">
        <f aca="false">P73+Q73</f>
        <v>0</v>
      </c>
      <c r="P73" s="59"/>
      <c r="Q73" s="60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true" outlineLevel="0" collapsed="false">
      <c r="A74" s="33"/>
      <c r="B74" s="34" t="s">
        <v>79</v>
      </c>
      <c r="C74" s="35" t="s">
        <v>20</v>
      </c>
      <c r="D74" s="35"/>
      <c r="E74" s="35" t="s">
        <v>52</v>
      </c>
      <c r="F74" s="38"/>
      <c r="G74" s="21" t="s">
        <v>22</v>
      </c>
      <c r="H74" s="38"/>
      <c r="I74" s="61"/>
      <c r="J74" s="61"/>
      <c r="K74" s="62" t="n">
        <f aca="false">L74+M74</f>
        <v>0</v>
      </c>
      <c r="L74" s="62"/>
      <c r="M74" s="62"/>
      <c r="N74" s="61"/>
      <c r="O74" s="62" t="n">
        <f aca="false">P74+Q74</f>
        <v>0</v>
      </c>
      <c r="P74" s="62"/>
      <c r="Q74" s="63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.75" hidden="false" customHeight="true" outlineLevel="0" collapsed="false">
      <c r="A75" s="33"/>
      <c r="B75" s="34"/>
      <c r="C75" s="34"/>
      <c r="D75" s="34"/>
      <c r="E75" s="34"/>
      <c r="F75" s="42"/>
      <c r="G75" s="43" t="s">
        <v>26</v>
      </c>
      <c r="H75" s="42"/>
      <c r="I75" s="64"/>
      <c r="J75" s="64"/>
      <c r="K75" s="65" t="n">
        <f aca="false">L75+M75</f>
        <v>0</v>
      </c>
      <c r="L75" s="65"/>
      <c r="M75" s="65"/>
      <c r="N75" s="64"/>
      <c r="O75" s="65" t="n">
        <f aca="false">P75+Q75</f>
        <v>0</v>
      </c>
      <c r="P75" s="65"/>
      <c r="Q75" s="6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" hidden="false" customHeight="true" outlineLevel="0" collapsed="false">
      <c r="A76" s="72"/>
      <c r="B76" s="73" t="s">
        <v>80</v>
      </c>
      <c r="C76" s="74" t="s">
        <v>20</v>
      </c>
      <c r="D76" s="74"/>
      <c r="E76" s="74" t="s">
        <v>81</v>
      </c>
      <c r="F76" s="20"/>
      <c r="G76" s="21" t="s">
        <v>22</v>
      </c>
      <c r="H76" s="22" t="n">
        <v>1</v>
      </c>
      <c r="I76" s="67"/>
      <c r="J76" s="67"/>
      <c r="K76" s="68" t="n">
        <f aca="false">L76+M76</f>
        <v>0</v>
      </c>
      <c r="L76" s="68"/>
      <c r="M76" s="68"/>
      <c r="N76" s="67"/>
      <c r="O76" s="68" t="n">
        <f aca="false">P76+Q76</f>
        <v>0</v>
      </c>
      <c r="P76" s="68"/>
      <c r="Q76" s="69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72"/>
      <c r="B77" s="73"/>
      <c r="C77" s="73"/>
      <c r="D77" s="73"/>
      <c r="E77" s="73"/>
      <c r="F77" s="42"/>
      <c r="G77" s="43" t="s">
        <v>26</v>
      </c>
      <c r="H77" s="42"/>
      <c r="I77" s="64"/>
      <c r="J77" s="64"/>
      <c r="K77" s="65" t="n">
        <f aca="false">L77+M77</f>
        <v>0</v>
      </c>
      <c r="L77" s="65"/>
      <c r="M77" s="65"/>
      <c r="N77" s="64"/>
      <c r="O77" s="65" t="n">
        <f aca="false">P77+Q77</f>
        <v>0</v>
      </c>
      <c r="P77" s="65"/>
      <c r="Q77" s="6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" hidden="false" customHeight="true" outlineLevel="0" collapsed="false">
      <c r="A78" s="17"/>
      <c r="B78" s="18" t="s">
        <v>82</v>
      </c>
      <c r="C78" s="19" t="s">
        <v>20</v>
      </c>
      <c r="D78" s="19"/>
      <c r="E78" s="19" t="s">
        <v>25</v>
      </c>
      <c r="F78" s="22"/>
      <c r="G78" s="21" t="s">
        <v>22</v>
      </c>
      <c r="H78" s="22"/>
      <c r="I78" s="67"/>
      <c r="J78" s="67"/>
      <c r="K78" s="68" t="n">
        <f aca="false">L78+M78</f>
        <v>0</v>
      </c>
      <c r="L78" s="68"/>
      <c r="M78" s="68"/>
      <c r="N78" s="67"/>
      <c r="O78" s="68" t="n">
        <f aca="false">P78+Q78</f>
        <v>0</v>
      </c>
      <c r="P78" s="68"/>
      <c r="Q78" s="69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.75" hidden="false" customHeight="true" outlineLevel="0" collapsed="false">
      <c r="A79" s="17"/>
      <c r="B79" s="18"/>
      <c r="C79" s="18"/>
      <c r="D79" s="18"/>
      <c r="E79" s="18"/>
      <c r="F79" s="26"/>
      <c r="G79" s="27" t="s">
        <v>26</v>
      </c>
      <c r="H79" s="26"/>
      <c r="I79" s="58"/>
      <c r="J79" s="58"/>
      <c r="K79" s="59" t="n">
        <f aca="false">L79+M79</f>
        <v>0</v>
      </c>
      <c r="L79" s="59"/>
      <c r="M79" s="59"/>
      <c r="N79" s="58"/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17"/>
      <c r="B80" s="18" t="s">
        <v>83</v>
      </c>
      <c r="C80" s="19" t="s">
        <v>20</v>
      </c>
      <c r="D80" s="19"/>
      <c r="E80" s="19" t="s">
        <v>25</v>
      </c>
      <c r="F80" s="20"/>
      <c r="G80" s="21" t="s">
        <v>22</v>
      </c>
      <c r="H80" s="22"/>
      <c r="I80" s="67"/>
      <c r="J80" s="67"/>
      <c r="K80" s="68" t="n">
        <f aca="false">L80+M80</f>
        <v>0</v>
      </c>
      <c r="L80" s="68"/>
      <c r="M80" s="68"/>
      <c r="N80" s="67"/>
      <c r="O80" s="68" t="n">
        <f aca="false">P80+Q80</f>
        <v>0</v>
      </c>
      <c r="P80" s="68"/>
      <c r="Q80" s="69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17"/>
      <c r="B81" s="18"/>
      <c r="C81" s="18"/>
      <c r="D81" s="18"/>
      <c r="E81" s="18"/>
      <c r="F81" s="26"/>
      <c r="G81" s="27" t="s">
        <v>26</v>
      </c>
      <c r="H81" s="26"/>
      <c r="I81" s="58"/>
      <c r="J81" s="58"/>
      <c r="K81" s="59" t="n">
        <f aca="false">L81+M81</f>
        <v>0</v>
      </c>
      <c r="L81" s="59"/>
      <c r="M81" s="59"/>
      <c r="N81" s="58"/>
      <c r="O81" s="59" t="n">
        <f aca="false">P81+Q81</f>
        <v>0</v>
      </c>
      <c r="P81" s="59"/>
      <c r="Q81" s="60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33"/>
      <c r="B82" s="34" t="s">
        <v>84</v>
      </c>
      <c r="C82" s="35" t="s">
        <v>20</v>
      </c>
      <c r="D82" s="35"/>
      <c r="E82" s="35" t="s">
        <v>52</v>
      </c>
      <c r="F82" s="36"/>
      <c r="G82" s="21" t="s">
        <v>22</v>
      </c>
      <c r="H82" s="38"/>
      <c r="I82" s="61"/>
      <c r="J82" s="61"/>
      <c r="K82" s="62" t="n">
        <f aca="false">L82+M82</f>
        <v>0</v>
      </c>
      <c r="L82" s="62"/>
      <c r="M82" s="62"/>
      <c r="N82" s="61"/>
      <c r="O82" s="62" t="n">
        <f aca="false">P82+Q82</f>
        <v>0</v>
      </c>
      <c r="P82" s="62"/>
      <c r="Q82" s="63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/>
      <c r="C83" s="34"/>
      <c r="D83" s="34"/>
      <c r="E83" s="34"/>
      <c r="F83" s="71"/>
      <c r="G83" s="43" t="s">
        <v>26</v>
      </c>
      <c r="H83" s="42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85</v>
      </c>
      <c r="C84" s="19" t="s">
        <v>20</v>
      </c>
      <c r="D84" s="19"/>
      <c r="E84" s="19" t="s">
        <v>25</v>
      </c>
      <c r="F84" s="87"/>
      <c r="G84" s="21" t="s">
        <v>22</v>
      </c>
      <c r="H84" s="21"/>
      <c r="I84" s="67"/>
      <c r="J84" s="67"/>
      <c r="K84" s="68" t="n">
        <f aca="false">L84+M84</f>
        <v>0</v>
      </c>
      <c r="L84" s="68"/>
      <c r="M84" s="68"/>
      <c r="N84" s="67"/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88"/>
      <c r="G85" s="27" t="s">
        <v>26</v>
      </c>
      <c r="H85" s="27"/>
      <c r="I85" s="58"/>
      <c r="J85" s="58"/>
      <c r="K85" s="59" t="n">
        <f aca="false">L85+M85</f>
        <v>0</v>
      </c>
      <c r="L85" s="59"/>
      <c r="M85" s="59"/>
      <c r="N85" s="58"/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17"/>
      <c r="B86" s="73" t="s">
        <v>86</v>
      </c>
      <c r="C86" s="74" t="s">
        <v>33</v>
      </c>
      <c r="D86" s="74" t="s">
        <v>87</v>
      </c>
      <c r="E86" s="74" t="s">
        <v>88</v>
      </c>
      <c r="F86" s="20"/>
      <c r="G86" s="21" t="s">
        <v>22</v>
      </c>
      <c r="H86" s="21" t="n">
        <v>4</v>
      </c>
      <c r="I86" s="67"/>
      <c r="J86" s="67"/>
      <c r="K86" s="68" t="n">
        <f aca="false">L86+M86</f>
        <v>0</v>
      </c>
      <c r="L86" s="68"/>
      <c r="M86" s="68"/>
      <c r="N86" s="67"/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73"/>
      <c r="C87" s="73"/>
      <c r="D87" s="73"/>
      <c r="E87" s="73"/>
      <c r="F87" s="42"/>
      <c r="G87" s="43" t="s">
        <v>23</v>
      </c>
      <c r="H87" s="42" t="n">
        <v>1</v>
      </c>
      <c r="I87" s="64"/>
      <c r="J87" s="64"/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89</v>
      </c>
      <c r="C88" s="19" t="s">
        <v>20</v>
      </c>
      <c r="D88" s="19" t="s">
        <v>90</v>
      </c>
      <c r="E88" s="19" t="s">
        <v>42</v>
      </c>
      <c r="F88" s="20"/>
      <c r="G88" s="21" t="s">
        <v>22</v>
      </c>
      <c r="H88" s="22" t="n">
        <v>2</v>
      </c>
      <c r="I88" s="67"/>
      <c r="J88" s="67"/>
      <c r="K88" s="68" t="n">
        <f aca="false">L88+M88</f>
        <v>0</v>
      </c>
      <c r="L88" s="68"/>
      <c r="M88" s="68"/>
      <c r="N88" s="67"/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/>
      <c r="G89" s="27" t="s">
        <v>23</v>
      </c>
      <c r="H89" s="26"/>
      <c r="I89" s="58"/>
      <c r="J89" s="58"/>
      <c r="K89" s="59" t="n">
        <f aca="false">L89+M89</f>
        <v>0</v>
      </c>
      <c r="L89" s="59"/>
      <c r="M89" s="59"/>
      <c r="N89" s="58"/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.75" hidden="false" customHeight="true" outlineLevel="0" collapsed="false">
      <c r="A90" s="33"/>
      <c r="B90" s="34" t="s">
        <v>91</v>
      </c>
      <c r="C90" s="35" t="s">
        <v>33</v>
      </c>
      <c r="D90" s="35" t="s">
        <v>92</v>
      </c>
      <c r="E90" s="35" t="s">
        <v>25</v>
      </c>
      <c r="F90" s="36"/>
      <c r="G90" s="21" t="s">
        <v>22</v>
      </c>
      <c r="H90" s="38" t="n">
        <v>2</v>
      </c>
      <c r="I90" s="61"/>
      <c r="J90" s="61"/>
      <c r="K90" s="62" t="n">
        <f aca="false">L90+M90</f>
        <v>0</v>
      </c>
      <c r="L90" s="62"/>
      <c r="M90" s="62"/>
      <c r="N90" s="61"/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89"/>
      <c r="G91" s="90" t="s">
        <v>23</v>
      </c>
      <c r="H91" s="89"/>
      <c r="I91" s="91"/>
      <c r="J91" s="91"/>
      <c r="K91" s="92" t="n">
        <f aca="false">L91+M91</f>
        <v>0</v>
      </c>
      <c r="L91" s="92"/>
      <c r="M91" s="92"/>
      <c r="N91" s="91"/>
      <c r="O91" s="92" t="n">
        <f aca="false">P91+Q91</f>
        <v>0</v>
      </c>
      <c r="P91" s="92"/>
      <c r="Q91" s="93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/>
      <c r="G92" s="43" t="s">
        <v>26</v>
      </c>
      <c r="H92" s="42"/>
      <c r="I92" s="64"/>
      <c r="J92" s="64"/>
      <c r="K92" s="65" t="n">
        <f aca="false">L92+M92</f>
        <v>0</v>
      </c>
      <c r="L92" s="65"/>
      <c r="M92" s="65"/>
      <c r="N92" s="64"/>
      <c r="O92" s="65" t="n">
        <f aca="false">P92+Q92</f>
        <v>0</v>
      </c>
      <c r="P92" s="65"/>
      <c r="Q92" s="6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18" t="s">
        <v>93</v>
      </c>
      <c r="C93" s="19" t="s">
        <v>20</v>
      </c>
      <c r="D93" s="49"/>
      <c r="E93" s="19" t="s">
        <v>50</v>
      </c>
      <c r="F93" s="87"/>
      <c r="G93" s="21" t="s">
        <v>22</v>
      </c>
      <c r="H93" s="22"/>
      <c r="I93" s="67"/>
      <c r="J93" s="67"/>
      <c r="K93" s="68" t="n">
        <f aca="false">L93+M93</f>
        <v>0</v>
      </c>
      <c r="L93" s="68"/>
      <c r="M93" s="68"/>
      <c r="N93" s="67"/>
      <c r="O93" s="68" t="n">
        <f aca="false">P93+Q93</f>
        <v>0</v>
      </c>
      <c r="P93" s="68"/>
      <c r="Q93" s="69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8"/>
      <c r="G94" s="27" t="s">
        <v>26</v>
      </c>
      <c r="H94" s="26" t="n">
        <v>1</v>
      </c>
      <c r="I94" s="58"/>
      <c r="J94" s="58"/>
      <c r="K94" s="59" t="n">
        <f aca="false">L94+M94</f>
        <v>0</v>
      </c>
      <c r="L94" s="59"/>
      <c r="M94" s="59"/>
      <c r="N94" s="58"/>
      <c r="O94" s="59" t="n">
        <f aca="false">P94+Q94</f>
        <v>0</v>
      </c>
      <c r="P94" s="59"/>
      <c r="Q94" s="60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" hidden="false" customHeight="true" outlineLevel="0" collapsed="false">
      <c r="A95" s="54"/>
      <c r="B95" s="55" t="s">
        <v>94</v>
      </c>
      <c r="C95" s="56" t="s">
        <v>20</v>
      </c>
      <c r="D95" s="56"/>
      <c r="E95" s="56" t="s">
        <v>52</v>
      </c>
      <c r="F95" s="36"/>
      <c r="G95" s="37" t="s">
        <v>22</v>
      </c>
      <c r="H95" s="38"/>
      <c r="I95" s="61"/>
      <c r="J95" s="61"/>
      <c r="K95" s="62" t="n">
        <f aca="false">L95+M95</f>
        <v>0</v>
      </c>
      <c r="L95" s="62"/>
      <c r="M95" s="62"/>
      <c r="N95" s="61"/>
      <c r="O95" s="62" t="n">
        <f aca="false">P95+Q95</f>
        <v>0</v>
      </c>
      <c r="P95" s="62"/>
      <c r="Q95" s="63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42"/>
      <c r="G96" s="43" t="s">
        <v>26</v>
      </c>
      <c r="H96" s="26"/>
      <c r="I96" s="58"/>
      <c r="J96" s="58"/>
      <c r="K96" s="59" t="n">
        <f aca="false">L96+M96</f>
        <v>0</v>
      </c>
      <c r="L96" s="59"/>
      <c r="M96" s="59"/>
      <c r="N96" s="58"/>
      <c r="O96" s="59" t="n">
        <f aca="false">P96+Q96</f>
        <v>0</v>
      </c>
      <c r="P96" s="59"/>
      <c r="Q96" s="60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 t="s">
        <v>95</v>
      </c>
      <c r="C97" s="35" t="s">
        <v>33</v>
      </c>
      <c r="D97" s="35" t="s">
        <v>96</v>
      </c>
      <c r="E97" s="35" t="s">
        <v>88</v>
      </c>
      <c r="F97" s="22"/>
      <c r="G97" s="21" t="s">
        <v>22</v>
      </c>
      <c r="H97" s="38"/>
      <c r="I97" s="61"/>
      <c r="J97" s="38"/>
      <c r="K97" s="62" t="n">
        <f aca="false">L97+M97</f>
        <v>0</v>
      </c>
      <c r="L97" s="62"/>
      <c r="M97" s="62"/>
      <c r="N97" s="61"/>
      <c r="O97" s="62" t="n">
        <f aca="false">P97+Q97</f>
        <v>0</v>
      </c>
      <c r="P97" s="62"/>
      <c r="Q97" s="6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23</v>
      </c>
      <c r="H98" s="42"/>
      <c r="I98" s="64"/>
      <c r="J98" s="64"/>
      <c r="K98" s="65" t="n">
        <f aca="false">L98+M98</f>
        <v>0</v>
      </c>
      <c r="L98" s="65"/>
      <c r="M98" s="65"/>
      <c r="N98" s="64"/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72"/>
      <c r="B99" s="73" t="s">
        <v>97</v>
      </c>
      <c r="C99" s="74" t="s">
        <v>20</v>
      </c>
      <c r="D99" s="74"/>
      <c r="E99" s="74" t="s">
        <v>98</v>
      </c>
      <c r="F99" s="20"/>
      <c r="G99" s="21" t="s">
        <v>22</v>
      </c>
      <c r="H99" s="22"/>
      <c r="I99" s="67"/>
      <c r="J99" s="67"/>
      <c r="K99" s="68" t="n">
        <f aca="false">L99+M99</f>
        <v>0</v>
      </c>
      <c r="L99" s="68"/>
      <c r="M99" s="68"/>
      <c r="N99" s="67"/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/>
      <c r="G100" s="43" t="s">
        <v>23</v>
      </c>
      <c r="H100" s="42"/>
      <c r="I100" s="64"/>
      <c r="J100" s="64"/>
      <c r="K100" s="65" t="n">
        <f aca="false">L100+M100</f>
        <v>0</v>
      </c>
      <c r="L100" s="65"/>
      <c r="M100" s="65"/>
      <c r="N100" s="64"/>
      <c r="O100" s="65" t="n">
        <f aca="false">P100+Q100</f>
        <v>0</v>
      </c>
      <c r="P100" s="65"/>
      <c r="Q100" s="6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 t="s">
        <v>99</v>
      </c>
      <c r="C101" s="19" t="s">
        <v>33</v>
      </c>
      <c r="D101" s="19" t="s">
        <v>100</v>
      </c>
      <c r="E101" s="19" t="s">
        <v>101</v>
      </c>
      <c r="F101" s="20"/>
      <c r="G101" s="21" t="s">
        <v>22</v>
      </c>
      <c r="H101" s="22" t="n">
        <v>1</v>
      </c>
      <c r="I101" s="67"/>
      <c r="J101" s="67"/>
      <c r="K101" s="68" t="n">
        <f aca="false">L101+M101</f>
        <v>0</v>
      </c>
      <c r="L101" s="68"/>
      <c r="M101" s="68"/>
      <c r="N101" s="67" t="n">
        <v>3</v>
      </c>
      <c r="O101" s="68" t="n">
        <f aca="false">P101+Q101</f>
        <v>0</v>
      </c>
      <c r="P101" s="68"/>
      <c r="Q101" s="69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/>
      <c r="G102" s="81" t="s">
        <v>26</v>
      </c>
      <c r="H102" s="81"/>
      <c r="I102" s="82"/>
      <c r="J102" s="82"/>
      <c r="K102" s="83" t="n">
        <f aca="false">L102+M102</f>
        <v>0</v>
      </c>
      <c r="L102" s="83"/>
      <c r="M102" s="83"/>
      <c r="N102" s="82"/>
      <c r="O102" s="83" t="n">
        <f aca="false">P102+Q102</f>
        <v>0</v>
      </c>
      <c r="P102" s="83"/>
      <c r="Q102" s="84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/>
      <c r="G103" s="27" t="s">
        <v>23</v>
      </c>
      <c r="H103" s="27"/>
      <c r="I103" s="58"/>
      <c r="J103" s="58"/>
      <c r="K103" s="59" t="n">
        <f aca="false">L103+M103</f>
        <v>0</v>
      </c>
      <c r="L103" s="59"/>
      <c r="M103" s="59"/>
      <c r="N103" s="58"/>
      <c r="O103" s="59" t="n">
        <f aca="false">P103+Q103</f>
        <v>0</v>
      </c>
      <c r="P103" s="59"/>
      <c r="Q103" s="60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 t="s">
        <v>102</v>
      </c>
      <c r="C104" s="35" t="s">
        <v>20</v>
      </c>
      <c r="D104" s="35"/>
      <c r="E104" s="35" t="s">
        <v>25</v>
      </c>
      <c r="F104" s="36"/>
      <c r="G104" s="21" t="s">
        <v>22</v>
      </c>
      <c r="H104" s="37"/>
      <c r="I104" s="61"/>
      <c r="J104" s="61"/>
      <c r="K104" s="62" t="n">
        <f aca="false">L104+M104</f>
        <v>0</v>
      </c>
      <c r="L104" s="62"/>
      <c r="M104" s="62"/>
      <c r="N104" s="61"/>
      <c r="O104" s="62" t="n">
        <f aca="false">P104+Q104</f>
        <v>0</v>
      </c>
      <c r="P104" s="62"/>
      <c r="Q104" s="63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43" t="s">
        <v>26</v>
      </c>
      <c r="H105" s="43" t="n">
        <v>2</v>
      </c>
      <c r="I105" s="64"/>
      <c r="J105" s="64"/>
      <c r="K105" s="65" t="n">
        <f aca="false">L105+M105</f>
        <v>0</v>
      </c>
      <c r="L105" s="65"/>
      <c r="M105" s="65"/>
      <c r="N105" s="64"/>
      <c r="O105" s="65" t="n">
        <f aca="false">P105+Q105</f>
        <v>0</v>
      </c>
      <c r="P105" s="65"/>
      <c r="Q105" s="6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" hidden="false" customHeight="true" outlineLevel="0" collapsed="false">
      <c r="A106" s="17"/>
      <c r="B106" s="18" t="s">
        <v>103</v>
      </c>
      <c r="C106" s="19" t="s">
        <v>20</v>
      </c>
      <c r="D106" s="19"/>
      <c r="E106" s="19" t="s">
        <v>52</v>
      </c>
      <c r="F106" s="20"/>
      <c r="G106" s="21" t="s">
        <v>22</v>
      </c>
      <c r="H106" s="22"/>
      <c r="I106" s="67"/>
      <c r="J106" s="67"/>
      <c r="K106" s="68" t="n">
        <f aca="false">L106+M106</f>
        <v>0</v>
      </c>
      <c r="L106" s="68"/>
      <c r="M106" s="68"/>
      <c r="N106" s="67"/>
      <c r="O106" s="68" t="n">
        <f aca="false">P106+Q106</f>
        <v>0</v>
      </c>
      <c r="P106" s="68"/>
      <c r="Q106" s="69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26"/>
      <c r="G107" s="27" t="s">
        <v>26</v>
      </c>
      <c r="H107" s="26" t="n">
        <v>1</v>
      </c>
      <c r="I107" s="58"/>
      <c r="J107" s="58"/>
      <c r="K107" s="59" t="n">
        <f aca="false">L107+M107</f>
        <v>0</v>
      </c>
      <c r="L107" s="59"/>
      <c r="M107" s="59"/>
      <c r="N107" s="58"/>
      <c r="O107" s="59" t="n">
        <f aca="false">P107+Q107</f>
        <v>0</v>
      </c>
      <c r="P107" s="59"/>
      <c r="Q107" s="60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" hidden="false" customHeight="true" outlineLevel="0" collapsed="false">
      <c r="A108" s="54"/>
      <c r="B108" s="55" t="s">
        <v>104</v>
      </c>
      <c r="C108" s="56" t="s">
        <v>20</v>
      </c>
      <c r="D108" s="56"/>
      <c r="E108" s="56" t="s">
        <v>25</v>
      </c>
      <c r="F108" s="22"/>
      <c r="G108" s="21" t="s">
        <v>22</v>
      </c>
      <c r="H108" s="38"/>
      <c r="I108" s="61"/>
      <c r="J108" s="61"/>
      <c r="K108" s="62" t="n">
        <f aca="false">L108+M108</f>
        <v>0</v>
      </c>
      <c r="L108" s="62"/>
      <c r="M108" s="62"/>
      <c r="N108" s="61"/>
      <c r="O108" s="62" t="n">
        <f aca="false">P108+Q108</f>
        <v>0</v>
      </c>
      <c r="P108" s="62"/>
      <c r="Q108" s="6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57"/>
      <c r="G109" s="27" t="s">
        <v>26</v>
      </c>
      <c r="H109" s="26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33"/>
      <c r="B110" s="34" t="s">
        <v>105</v>
      </c>
      <c r="C110" s="35" t="s">
        <v>33</v>
      </c>
      <c r="D110" s="35" t="s">
        <v>106</v>
      </c>
      <c r="E110" s="35" t="s">
        <v>107</v>
      </c>
      <c r="F110" s="36"/>
      <c r="G110" s="21" t="s">
        <v>22</v>
      </c>
      <c r="H110" s="38"/>
      <c r="I110" s="61"/>
      <c r="J110" s="61"/>
      <c r="K110" s="62" t="n">
        <f aca="false">L110+M110</f>
        <v>0</v>
      </c>
      <c r="L110" s="62"/>
      <c r="M110" s="62"/>
      <c r="N110" s="61" t="n">
        <v>1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42"/>
      <c r="G111" s="43" t="s">
        <v>26</v>
      </c>
      <c r="H111" s="42"/>
      <c r="I111" s="64"/>
      <c r="J111" s="64"/>
      <c r="K111" s="65" t="n">
        <f aca="false">L111+M111</f>
        <v>0</v>
      </c>
      <c r="L111" s="65"/>
      <c r="M111" s="65"/>
      <c r="N111" s="64"/>
      <c r="O111" s="65" t="n">
        <f aca="false">P111+Q111</f>
        <v>0</v>
      </c>
      <c r="P111" s="65"/>
      <c r="Q111" s="6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72"/>
      <c r="B112" s="73" t="s">
        <v>108</v>
      </c>
      <c r="C112" s="74" t="s">
        <v>33</v>
      </c>
      <c r="D112" s="74" t="s">
        <v>109</v>
      </c>
      <c r="E112" s="74" t="s">
        <v>25</v>
      </c>
      <c r="F112" s="20"/>
      <c r="G112" s="21" t="s">
        <v>22</v>
      </c>
      <c r="H112" s="22"/>
      <c r="I112" s="67"/>
      <c r="J112" s="67"/>
      <c r="K112" s="68" t="n">
        <f aca="false">L112+M112</f>
        <v>0</v>
      </c>
      <c r="L112" s="68"/>
      <c r="M112" s="68"/>
      <c r="N112" s="67"/>
      <c r="O112" s="68" t="n">
        <f aca="false">P112+Q112</f>
        <v>0</v>
      </c>
      <c r="P112" s="68"/>
      <c r="Q112" s="69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72"/>
      <c r="B113" s="73"/>
      <c r="C113" s="73"/>
      <c r="D113" s="73"/>
      <c r="E113" s="73"/>
      <c r="F113" s="42"/>
      <c r="G113" s="43" t="s">
        <v>26</v>
      </c>
      <c r="H113" s="42"/>
      <c r="I113" s="64"/>
      <c r="J113" s="64"/>
      <c r="K113" s="65" t="n">
        <f aca="false">L113+M113</f>
        <v>0</v>
      </c>
      <c r="L113" s="65"/>
      <c r="M113" s="65"/>
      <c r="N113" s="64"/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110</v>
      </c>
      <c r="C114" s="19" t="s">
        <v>33</v>
      </c>
      <c r="D114" s="19" t="s">
        <v>111</v>
      </c>
      <c r="E114" s="19" t="s">
        <v>25</v>
      </c>
      <c r="F114" s="20"/>
      <c r="G114" s="21" t="s">
        <v>22</v>
      </c>
      <c r="H114" s="22" t="n">
        <v>2</v>
      </c>
      <c r="I114" s="67"/>
      <c r="J114" s="22"/>
      <c r="K114" s="68" t="n">
        <f aca="false">L114+M114</f>
        <v>0</v>
      </c>
      <c r="L114" s="68"/>
      <c r="M114" s="68"/>
      <c r="N114" s="67"/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26</v>
      </c>
      <c r="H115" s="26"/>
      <c r="I115" s="58"/>
      <c r="J115" s="58"/>
      <c r="K115" s="59" t="n">
        <f aca="false">L115+M115</f>
        <v>0</v>
      </c>
      <c r="L115" s="59"/>
      <c r="M115" s="59"/>
      <c r="N115" s="58"/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33"/>
      <c r="B116" s="34" t="s">
        <v>112</v>
      </c>
      <c r="C116" s="35" t="s">
        <v>20</v>
      </c>
      <c r="D116" s="35"/>
      <c r="E116" s="35" t="s">
        <v>25</v>
      </c>
      <c r="F116" s="36"/>
      <c r="G116" s="21" t="s">
        <v>22</v>
      </c>
      <c r="H116" s="38"/>
      <c r="I116" s="61"/>
      <c r="J116" s="61"/>
      <c r="K116" s="94" t="n">
        <f aca="false">L116+M116</f>
        <v>0</v>
      </c>
      <c r="L116" s="94"/>
      <c r="M116" s="62"/>
      <c r="N116" s="61"/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26"/>
      <c r="G117" s="27" t="s">
        <v>26</v>
      </c>
      <c r="H117" s="42"/>
      <c r="I117" s="64"/>
      <c r="J117" s="64"/>
      <c r="K117" s="65" t="n">
        <f aca="false">L117+M117</f>
        <v>0</v>
      </c>
      <c r="L117" s="65"/>
      <c r="M117" s="65"/>
      <c r="N117" s="64"/>
      <c r="O117" s="65" t="n">
        <f aca="false">P117+Q117</f>
        <v>0</v>
      </c>
      <c r="P117" s="65"/>
      <c r="Q117" s="6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" hidden="false" customHeight="true" outlineLevel="0" collapsed="false">
      <c r="A118" s="17"/>
      <c r="B118" s="18" t="s">
        <v>113</v>
      </c>
      <c r="C118" s="19" t="s">
        <v>20</v>
      </c>
      <c r="D118" s="19"/>
      <c r="E118" s="19" t="s">
        <v>31</v>
      </c>
      <c r="F118" s="36"/>
      <c r="G118" s="21" t="s">
        <v>22</v>
      </c>
      <c r="H118" s="22"/>
      <c r="I118" s="67"/>
      <c r="J118" s="67"/>
      <c r="K118" s="68" t="n">
        <f aca="false">L118+M118</f>
        <v>0</v>
      </c>
      <c r="L118" s="68"/>
      <c r="M118" s="68"/>
      <c r="N118" s="67"/>
      <c r="O118" s="68" t="n">
        <f aca="false">P118+Q118</f>
        <v>0</v>
      </c>
      <c r="P118" s="68"/>
      <c r="Q118" s="69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57"/>
      <c r="G119" s="27" t="s">
        <v>26</v>
      </c>
      <c r="H119" s="26"/>
      <c r="I119" s="58"/>
      <c r="J119" s="58"/>
      <c r="K119" s="59" t="n">
        <f aca="false">L119+M119</f>
        <v>0</v>
      </c>
      <c r="L119" s="59"/>
      <c r="M119" s="59"/>
      <c r="N119" s="58"/>
      <c r="O119" s="59" t="n">
        <f aca="false">P119+Q119</f>
        <v>0</v>
      </c>
      <c r="P119" s="59"/>
      <c r="Q119" s="60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" hidden="false" customHeight="true" outlineLevel="0" collapsed="false">
      <c r="A120" s="33"/>
      <c r="B120" s="34" t="s">
        <v>114</v>
      </c>
      <c r="C120" s="35" t="s">
        <v>20</v>
      </c>
      <c r="D120" s="95"/>
      <c r="E120" s="35" t="s">
        <v>25</v>
      </c>
      <c r="F120" s="71"/>
      <c r="G120" s="21" t="s">
        <v>22</v>
      </c>
      <c r="H120" s="38"/>
      <c r="I120" s="61"/>
      <c r="J120" s="61"/>
      <c r="K120" s="62" t="n">
        <f aca="false">L120+M120</f>
        <v>0</v>
      </c>
      <c r="L120" s="62"/>
      <c r="M120" s="62"/>
      <c r="N120" s="61"/>
      <c r="O120" s="62" t="n">
        <f aca="false">P120+Q120</f>
        <v>0</v>
      </c>
      <c r="P120" s="62"/>
      <c r="Q120" s="63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42"/>
      <c r="G121" s="43" t="s">
        <v>26</v>
      </c>
      <c r="H121" s="42"/>
      <c r="I121" s="64"/>
      <c r="J121" s="64"/>
      <c r="K121" s="65" t="n">
        <f aca="false">L121+M121</f>
        <v>0</v>
      </c>
      <c r="L121" s="65"/>
      <c r="M121" s="65"/>
      <c r="N121" s="64"/>
      <c r="O121" s="65" t="n">
        <f aca="false">P121+Q121</f>
        <v>0</v>
      </c>
      <c r="P121" s="65"/>
      <c r="Q121" s="6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 t="s">
        <v>115</v>
      </c>
      <c r="C122" s="19" t="s">
        <v>20</v>
      </c>
      <c r="D122" s="19"/>
      <c r="E122" s="19" t="s">
        <v>116</v>
      </c>
      <c r="F122" s="20"/>
      <c r="G122" s="21" t="s">
        <v>22</v>
      </c>
      <c r="H122" s="22"/>
      <c r="I122" s="67"/>
      <c r="J122" s="67"/>
      <c r="K122" s="68" t="n">
        <f aca="false">L122+M122</f>
        <v>0</v>
      </c>
      <c r="L122" s="68"/>
      <c r="M122" s="68"/>
      <c r="N122" s="67"/>
      <c r="O122" s="68" t="n">
        <f aca="false">P122+Q122</f>
        <v>0</v>
      </c>
      <c r="P122" s="68"/>
      <c r="Q122" s="69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/>
      <c r="G123" s="27" t="s">
        <v>26</v>
      </c>
      <c r="H123" s="26"/>
      <c r="I123" s="58"/>
      <c r="J123" s="58"/>
      <c r="K123" s="59" t="n">
        <f aca="false">L123+M123</f>
        <v>0</v>
      </c>
      <c r="L123" s="59"/>
      <c r="M123" s="59"/>
      <c r="N123" s="58"/>
      <c r="O123" s="59" t="n">
        <f aca="false">P123+Q123</f>
        <v>0</v>
      </c>
      <c r="P123" s="59"/>
      <c r="Q123" s="60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" hidden="false" customHeight="true" outlineLevel="0" collapsed="false">
      <c r="A124" s="33"/>
      <c r="B124" s="34" t="s">
        <v>117</v>
      </c>
      <c r="C124" s="35" t="s">
        <v>33</v>
      </c>
      <c r="D124" s="35" t="s">
        <v>118</v>
      </c>
      <c r="E124" s="35" t="s">
        <v>25</v>
      </c>
      <c r="F124" s="89"/>
      <c r="G124" s="21" t="s">
        <v>22</v>
      </c>
      <c r="H124" s="38"/>
      <c r="I124" s="61"/>
      <c r="J124" s="61"/>
      <c r="K124" s="62" t="n">
        <f aca="false">L124+M124</f>
        <v>0</v>
      </c>
      <c r="L124" s="62"/>
      <c r="M124" s="62"/>
      <c r="N124" s="61"/>
      <c r="O124" s="62" t="n">
        <f aca="false">P124+Q124</f>
        <v>0</v>
      </c>
      <c r="P124" s="62"/>
      <c r="Q124" s="63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" hidden="false" customHeight="false" outlineLevel="0" collapsed="false">
      <c r="A125" s="33"/>
      <c r="B125" s="34"/>
      <c r="C125" s="34"/>
      <c r="D125" s="34"/>
      <c r="E125" s="34"/>
      <c r="F125" s="42"/>
      <c r="G125" s="37" t="s">
        <v>23</v>
      </c>
      <c r="H125" s="38"/>
      <c r="I125" s="61"/>
      <c r="J125" s="61"/>
      <c r="K125" s="62" t="n">
        <f aca="false">L125+M125</f>
        <v>0</v>
      </c>
      <c r="L125" s="62"/>
      <c r="M125" s="62"/>
      <c r="N125" s="61"/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" hidden="false" customHeight="false" outlineLevel="0" collapsed="false">
      <c r="A126" s="33"/>
      <c r="B126" s="34"/>
      <c r="C126" s="34"/>
      <c r="D126" s="34"/>
      <c r="E126" s="34"/>
      <c r="F126" s="42"/>
      <c r="G126" s="43" t="s">
        <v>26</v>
      </c>
      <c r="H126" s="42"/>
      <c r="I126" s="64"/>
      <c r="J126" s="64"/>
      <c r="K126" s="65" t="n">
        <f aca="false">L126+M126</f>
        <v>0</v>
      </c>
      <c r="L126" s="65"/>
      <c r="M126" s="65"/>
      <c r="N126" s="64"/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119</v>
      </c>
      <c r="C127" s="19" t="s">
        <v>20</v>
      </c>
      <c r="D127" s="19"/>
      <c r="E127" s="19" t="s">
        <v>25</v>
      </c>
      <c r="F127" s="20"/>
      <c r="G127" s="21" t="s">
        <v>22</v>
      </c>
      <c r="H127" s="22"/>
      <c r="I127" s="67"/>
      <c r="J127" s="67"/>
      <c r="K127" s="68" t="n">
        <f aca="false">L127+M127</f>
        <v>0</v>
      </c>
      <c r="L127" s="68"/>
      <c r="M127" s="68"/>
      <c r="N127" s="67"/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26"/>
      <c r="G128" s="27" t="s">
        <v>26</v>
      </c>
      <c r="H128" s="26"/>
      <c r="I128" s="58"/>
      <c r="J128" s="58"/>
      <c r="K128" s="59" t="n">
        <f aca="false">L128+M128</f>
        <v>0</v>
      </c>
      <c r="L128" s="59"/>
      <c r="M128" s="59"/>
      <c r="N128" s="58"/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54"/>
      <c r="B129" s="55" t="s">
        <v>120</v>
      </c>
      <c r="C129" s="56" t="s">
        <v>20</v>
      </c>
      <c r="D129" s="56"/>
      <c r="E129" s="56" t="s">
        <v>25</v>
      </c>
      <c r="F129" s="36"/>
      <c r="G129" s="21" t="s">
        <v>22</v>
      </c>
      <c r="H129" s="38"/>
      <c r="I129" s="61"/>
      <c r="J129" s="61"/>
      <c r="K129" s="62" t="n">
        <f aca="false">L129+M129</f>
        <v>0</v>
      </c>
      <c r="L129" s="62"/>
      <c r="M129" s="62"/>
      <c r="N129" s="61" t="n">
        <v>3</v>
      </c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57"/>
      <c r="G130" s="27" t="s">
        <v>26</v>
      </c>
      <c r="H130" s="26"/>
      <c r="I130" s="58"/>
      <c r="J130" s="58"/>
      <c r="K130" s="59" t="n">
        <f aca="false">L130+M130</f>
        <v>0</v>
      </c>
      <c r="L130" s="59"/>
      <c r="M130" s="59"/>
      <c r="N130" s="58"/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33"/>
      <c r="B131" s="34" t="s">
        <v>121</v>
      </c>
      <c r="C131" s="35" t="s">
        <v>20</v>
      </c>
      <c r="D131" s="35"/>
      <c r="E131" s="35" t="s">
        <v>25</v>
      </c>
      <c r="F131" s="36"/>
      <c r="G131" s="21" t="s">
        <v>22</v>
      </c>
      <c r="H131" s="38"/>
      <c r="I131" s="61"/>
      <c r="J131" s="61"/>
      <c r="K131" s="62" t="n">
        <f aca="false">L131+M131</f>
        <v>0</v>
      </c>
      <c r="L131" s="62"/>
      <c r="M131" s="62"/>
      <c r="N131" s="61"/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/>
      <c r="G132" s="43" t="s">
        <v>26</v>
      </c>
      <c r="H132" s="42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122</v>
      </c>
      <c r="C133" s="19" t="s">
        <v>20</v>
      </c>
      <c r="D133" s="19"/>
      <c r="E133" s="19" t="s">
        <v>116</v>
      </c>
      <c r="F133" s="20"/>
      <c r="G133" s="21" t="s">
        <v>22</v>
      </c>
      <c r="H133" s="22"/>
      <c r="I133" s="67"/>
      <c r="J133" s="67"/>
      <c r="K133" s="68" t="n">
        <f aca="false">L133+M133</f>
        <v>0</v>
      </c>
      <c r="L133" s="68"/>
      <c r="M133" s="68"/>
      <c r="N133" s="67"/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26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33"/>
      <c r="B135" s="34" t="s">
        <v>123</v>
      </c>
      <c r="C135" s="35" t="s">
        <v>20</v>
      </c>
      <c r="D135" s="35"/>
      <c r="E135" s="35" t="s">
        <v>25</v>
      </c>
      <c r="F135" s="36"/>
      <c r="G135" s="21" t="s">
        <v>22</v>
      </c>
      <c r="H135" s="38"/>
      <c r="I135" s="61"/>
      <c r="J135" s="61"/>
      <c r="K135" s="62" t="n">
        <f aca="false">L135+M135</f>
        <v>0</v>
      </c>
      <c r="L135" s="62"/>
      <c r="M135" s="62"/>
      <c r="N135" s="61" t="n">
        <v>1</v>
      </c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/>
      <c r="G136" s="43" t="s">
        <v>26</v>
      </c>
      <c r="H136" s="42"/>
      <c r="I136" s="64"/>
      <c r="J136" s="64"/>
      <c r="K136" s="65" t="n">
        <f aca="false">L136+M136</f>
        <v>0</v>
      </c>
      <c r="L136" s="65"/>
      <c r="M136" s="65"/>
      <c r="N136" s="64"/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124</v>
      </c>
      <c r="C137" s="19" t="s">
        <v>20</v>
      </c>
      <c r="D137" s="19"/>
      <c r="E137" s="19" t="s">
        <v>88</v>
      </c>
      <c r="F137" s="20"/>
      <c r="G137" s="21" t="s">
        <v>22</v>
      </c>
      <c r="H137" s="22"/>
      <c r="I137" s="67"/>
      <c r="J137" s="67"/>
      <c r="K137" s="68" t="n">
        <f aca="false">L137+M137</f>
        <v>0</v>
      </c>
      <c r="L137" s="68"/>
      <c r="M137" s="68"/>
      <c r="N137" s="67"/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/>
      <c r="G138" s="27" t="s">
        <v>23</v>
      </c>
      <c r="H138" s="26"/>
      <c r="I138" s="58"/>
      <c r="J138" s="58"/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125</v>
      </c>
      <c r="C139" s="35" t="s">
        <v>33</v>
      </c>
      <c r="D139" s="35" t="s">
        <v>126</v>
      </c>
      <c r="E139" s="35" t="s">
        <v>127</v>
      </c>
      <c r="F139" s="36"/>
      <c r="G139" s="21" t="s">
        <v>22</v>
      </c>
      <c r="H139" s="38"/>
      <c r="I139" s="61"/>
      <c r="J139" s="61"/>
      <c r="K139" s="62" t="n">
        <f aca="false">L139+M139</f>
        <v>0</v>
      </c>
      <c r="L139" s="62"/>
      <c r="M139" s="62"/>
      <c r="N139" s="61"/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/>
      <c r="G140" s="43" t="s">
        <v>23</v>
      </c>
      <c r="H140" s="42" t="n">
        <v>1</v>
      </c>
      <c r="I140" s="64"/>
      <c r="J140" s="64"/>
      <c r="K140" s="65" t="n">
        <f aca="false">L140+M140</f>
        <v>0</v>
      </c>
      <c r="L140" s="65"/>
      <c r="M140" s="65"/>
      <c r="N140" s="64"/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128</v>
      </c>
      <c r="C141" s="19" t="s">
        <v>20</v>
      </c>
      <c r="D141" s="19"/>
      <c r="E141" s="19" t="s">
        <v>25</v>
      </c>
      <c r="F141" s="20"/>
      <c r="G141" s="21" t="s">
        <v>22</v>
      </c>
      <c r="H141" s="22" t="n">
        <v>1</v>
      </c>
      <c r="I141" s="67"/>
      <c r="J141" s="67"/>
      <c r="K141" s="68" t="n">
        <f aca="false">L141+M141</f>
        <v>0</v>
      </c>
      <c r="L141" s="68"/>
      <c r="M141" s="68"/>
      <c r="N141" s="67" t="n">
        <v>3</v>
      </c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26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.75" hidden="false" customHeight="true" outlineLevel="0" collapsed="false">
      <c r="A143" s="72"/>
      <c r="B143" s="73" t="s">
        <v>129</v>
      </c>
      <c r="C143" s="74" t="s">
        <v>38</v>
      </c>
      <c r="D143" s="74" t="s">
        <v>130</v>
      </c>
      <c r="E143" s="74" t="s">
        <v>25</v>
      </c>
      <c r="F143" s="20"/>
      <c r="G143" s="21" t="s">
        <v>22</v>
      </c>
      <c r="H143" s="22"/>
      <c r="I143" s="67"/>
      <c r="J143" s="67"/>
      <c r="K143" s="68" t="n">
        <f aca="false">L143+M143</f>
        <v>0</v>
      </c>
      <c r="L143" s="68"/>
      <c r="M143" s="68"/>
      <c r="N143" s="67"/>
      <c r="O143" s="68" t="n">
        <f aca="false">P143+Q143</f>
        <v>0</v>
      </c>
      <c r="P143" s="68"/>
      <c r="Q143" s="69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/>
      <c r="G144" s="43" t="s">
        <v>26</v>
      </c>
      <c r="H144" s="42"/>
      <c r="I144" s="64"/>
      <c r="J144" s="64"/>
      <c r="K144" s="65" t="n">
        <f aca="false">L144+M144</f>
        <v>0</v>
      </c>
      <c r="L144" s="65"/>
      <c r="M144" s="65"/>
      <c r="N144" s="64"/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6.5" hidden="false" customHeight="true" outlineLevel="0" collapsed="false">
      <c r="A145" s="17"/>
      <c r="B145" s="18" t="s">
        <v>131</v>
      </c>
      <c r="C145" s="19" t="s">
        <v>38</v>
      </c>
      <c r="D145" s="19" t="s">
        <v>130</v>
      </c>
      <c r="E145" s="19" t="s">
        <v>25</v>
      </c>
      <c r="F145" s="20"/>
      <c r="G145" s="21" t="s">
        <v>22</v>
      </c>
      <c r="H145" s="22"/>
      <c r="I145" s="67"/>
      <c r="J145" s="67"/>
      <c r="K145" s="68" t="n">
        <f aca="false">L145+M145</f>
        <v>0</v>
      </c>
      <c r="L145" s="68"/>
      <c r="M145" s="68"/>
      <c r="N145" s="67"/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6.5" hidden="false" customHeight="true" outlineLevel="0" collapsed="false">
      <c r="A146" s="17"/>
      <c r="B146" s="18"/>
      <c r="C146" s="18"/>
      <c r="D146" s="18"/>
      <c r="E146" s="18"/>
      <c r="F146" s="26"/>
      <c r="G146" s="27" t="s">
        <v>26</v>
      </c>
      <c r="H146" s="26"/>
      <c r="I146" s="58"/>
      <c r="J146" s="58"/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9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6.5" hidden="false" customHeight="true" outlineLevel="0" collapsed="false">
      <c r="A147" s="33"/>
      <c r="B147" s="34" t="s">
        <v>132</v>
      </c>
      <c r="C147" s="35" t="s">
        <v>20</v>
      </c>
      <c r="D147" s="35"/>
      <c r="E147" s="35" t="s">
        <v>69</v>
      </c>
      <c r="F147" s="38"/>
      <c r="G147" s="21" t="s">
        <v>22</v>
      </c>
      <c r="H147" s="38"/>
      <c r="I147" s="61"/>
      <c r="J147" s="61"/>
      <c r="K147" s="62" t="n">
        <f aca="false">L147+M147</f>
        <v>0</v>
      </c>
      <c r="L147" s="62"/>
      <c r="M147" s="62"/>
      <c r="N147" s="61"/>
      <c r="O147" s="62" t="n">
        <f aca="false">P147+Q147</f>
        <v>0</v>
      </c>
      <c r="P147" s="62"/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6.5" hidden="false" customHeight="true" outlineLevel="0" collapsed="false">
      <c r="A148" s="33"/>
      <c r="B148" s="34"/>
      <c r="C148" s="34"/>
      <c r="D148" s="34"/>
      <c r="E148" s="34"/>
      <c r="F148" s="42"/>
      <c r="G148" s="43" t="s">
        <v>26</v>
      </c>
      <c r="H148" s="42"/>
      <c r="I148" s="64"/>
      <c r="J148" s="64"/>
      <c r="K148" s="65" t="n">
        <f aca="false">L148+M148</f>
        <v>0</v>
      </c>
      <c r="L148" s="65"/>
      <c r="M148" s="65"/>
      <c r="N148" s="64"/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6.5" hidden="false" customHeight="true" outlineLevel="0" collapsed="false">
      <c r="A149" s="72"/>
      <c r="B149" s="73" t="s">
        <v>133</v>
      </c>
      <c r="C149" s="74" t="s">
        <v>20</v>
      </c>
      <c r="D149" s="74"/>
      <c r="E149" s="74" t="s">
        <v>25</v>
      </c>
      <c r="F149" s="22"/>
      <c r="G149" s="21" t="s">
        <v>22</v>
      </c>
      <c r="H149" s="22"/>
      <c r="I149" s="67"/>
      <c r="J149" s="67"/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6.5" hidden="false" customHeight="true" outlineLevel="0" collapsed="false">
      <c r="A150" s="72"/>
      <c r="B150" s="73"/>
      <c r="C150" s="73"/>
      <c r="D150" s="73"/>
      <c r="E150" s="73"/>
      <c r="F150" s="42"/>
      <c r="G150" s="43" t="s">
        <v>26</v>
      </c>
      <c r="H150" s="42"/>
      <c r="I150" s="64"/>
      <c r="J150" s="64"/>
      <c r="K150" s="65" t="n">
        <f aca="false">L150+M150</f>
        <v>0</v>
      </c>
      <c r="L150" s="65"/>
      <c r="M150" s="65"/>
      <c r="N150" s="64"/>
      <c r="O150" s="65" t="n">
        <f aca="false">P150+Q150</f>
        <v>0</v>
      </c>
      <c r="P150" s="65"/>
      <c r="Q150" s="6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6.5" hidden="false" customHeight="true" outlineLevel="0" collapsed="false">
      <c r="A151" s="72"/>
      <c r="B151" s="73" t="s">
        <v>134</v>
      </c>
      <c r="C151" s="74" t="s">
        <v>20</v>
      </c>
      <c r="D151" s="74"/>
      <c r="E151" s="74" t="s">
        <v>25</v>
      </c>
      <c r="F151" s="20"/>
      <c r="G151" s="21" t="s">
        <v>22</v>
      </c>
      <c r="H151" s="22"/>
      <c r="I151" s="67"/>
      <c r="J151" s="67"/>
      <c r="K151" s="68" t="n">
        <f aca="false">L151+M151</f>
        <v>0</v>
      </c>
      <c r="L151" s="68"/>
      <c r="M151" s="68"/>
      <c r="N151" s="67"/>
      <c r="O151" s="68" t="n">
        <f aca="false">P151+Q151</f>
        <v>0</v>
      </c>
      <c r="P151" s="68"/>
      <c r="Q151" s="69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/>
      <c r="G152" s="43" t="s">
        <v>26</v>
      </c>
      <c r="H152" s="42"/>
      <c r="I152" s="64"/>
      <c r="J152" s="64"/>
      <c r="K152" s="65" t="n">
        <f aca="false">L152+M152</f>
        <v>0</v>
      </c>
      <c r="L152" s="65"/>
      <c r="M152" s="65"/>
      <c r="N152" s="64"/>
      <c r="O152" s="65" t="n">
        <f aca="false">P152+Q152</f>
        <v>0</v>
      </c>
      <c r="P152" s="65"/>
      <c r="Q152" s="6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true" outlineLevel="0" collapsed="false">
      <c r="A153" s="17"/>
      <c r="B153" s="18" t="s">
        <v>135</v>
      </c>
      <c r="C153" s="19" t="s">
        <v>20</v>
      </c>
      <c r="D153" s="19"/>
      <c r="E153" s="19" t="s">
        <v>69</v>
      </c>
      <c r="F153" s="22"/>
      <c r="G153" s="21" t="s">
        <v>22</v>
      </c>
      <c r="H153" s="22"/>
      <c r="I153" s="67"/>
      <c r="J153" s="67"/>
      <c r="K153" s="68" t="n">
        <f aca="false">L153+M153</f>
        <v>0</v>
      </c>
      <c r="L153" s="68"/>
      <c r="M153" s="68"/>
      <c r="N153" s="67" t="n">
        <v>1</v>
      </c>
      <c r="O153" s="68" t="n">
        <f aca="false">P153+Q153</f>
        <v>0</v>
      </c>
      <c r="P153" s="68"/>
      <c r="Q153" s="69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26"/>
      <c r="G154" s="27" t="s">
        <v>26</v>
      </c>
      <c r="H154" s="26"/>
      <c r="I154" s="58"/>
      <c r="J154" s="58"/>
      <c r="K154" s="59" t="n">
        <f aca="false">L154+M154</f>
        <v>0</v>
      </c>
      <c r="L154" s="59"/>
      <c r="M154" s="59"/>
      <c r="N154" s="58"/>
      <c r="O154" s="59" t="n">
        <f aca="false">P154+Q154</f>
        <v>0</v>
      </c>
      <c r="P154" s="59"/>
      <c r="Q154" s="60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33"/>
      <c r="B155" s="34" t="s">
        <v>136</v>
      </c>
      <c r="C155" s="35" t="s">
        <v>20</v>
      </c>
      <c r="D155" s="35"/>
      <c r="E155" s="35" t="s">
        <v>98</v>
      </c>
      <c r="F155" s="36"/>
      <c r="G155" s="21" t="s">
        <v>22</v>
      </c>
      <c r="H155" s="38" t="n">
        <v>2</v>
      </c>
      <c r="I155" s="61"/>
      <c r="J155" s="61"/>
      <c r="K155" s="62" t="n">
        <f aca="false">L155+M155</f>
        <v>0</v>
      </c>
      <c r="L155" s="62"/>
      <c r="M155" s="62"/>
      <c r="N155" s="61"/>
      <c r="O155" s="62" t="n">
        <f aca="false">P155+Q155</f>
        <v>0</v>
      </c>
      <c r="P155" s="62"/>
      <c r="Q155" s="63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/>
      <c r="G156" s="43" t="s">
        <v>23</v>
      </c>
      <c r="H156" s="42"/>
      <c r="I156" s="64"/>
      <c r="J156" s="64"/>
      <c r="K156" s="65" t="n">
        <f aca="false">L156+M156</f>
        <v>0</v>
      </c>
      <c r="L156" s="65"/>
      <c r="M156" s="65"/>
      <c r="N156" s="64"/>
      <c r="O156" s="65" t="n">
        <f aca="false">P156+Q156</f>
        <v>0</v>
      </c>
      <c r="P156" s="65"/>
      <c r="Q156" s="6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17"/>
      <c r="B157" s="18" t="s">
        <v>137</v>
      </c>
      <c r="C157" s="19" t="s">
        <v>20</v>
      </c>
      <c r="D157" s="19"/>
      <c r="E157" s="19" t="s">
        <v>25</v>
      </c>
      <c r="F157" s="20"/>
      <c r="G157" s="21" t="s">
        <v>22</v>
      </c>
      <c r="H157" s="22"/>
      <c r="I157" s="67"/>
      <c r="J157" s="67"/>
      <c r="K157" s="68" t="n">
        <f aca="false">L157+M157</f>
        <v>0</v>
      </c>
      <c r="L157" s="68"/>
      <c r="M157" s="68"/>
      <c r="N157" s="67"/>
      <c r="O157" s="68" t="n">
        <f aca="false">P157+Q157</f>
        <v>0</v>
      </c>
      <c r="P157" s="68"/>
      <c r="Q157" s="69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20.25" hidden="false" customHeight="true" outlineLevel="0" collapsed="false">
      <c r="A158" s="17"/>
      <c r="B158" s="18"/>
      <c r="C158" s="18"/>
      <c r="D158" s="18"/>
      <c r="E158" s="18"/>
      <c r="F158" s="26"/>
      <c r="G158" s="27" t="s">
        <v>26</v>
      </c>
      <c r="H158" s="26"/>
      <c r="I158" s="58"/>
      <c r="J158" s="58"/>
      <c r="K158" s="59" t="n">
        <f aca="false">L158+M158</f>
        <v>0</v>
      </c>
      <c r="L158" s="59"/>
      <c r="M158" s="59"/>
      <c r="N158" s="58"/>
      <c r="O158" s="59" t="n">
        <f aca="false">P158+Q158</f>
        <v>0</v>
      </c>
      <c r="P158" s="59"/>
      <c r="Q158" s="60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 t="s">
        <v>138</v>
      </c>
      <c r="C159" s="56" t="s">
        <v>33</v>
      </c>
      <c r="D159" s="56" t="s">
        <v>139</v>
      </c>
      <c r="E159" s="56" t="s">
        <v>25</v>
      </c>
      <c r="F159" s="36"/>
      <c r="G159" s="21" t="s">
        <v>22</v>
      </c>
      <c r="H159" s="38"/>
      <c r="I159" s="61"/>
      <c r="J159" s="61"/>
      <c r="K159" s="62" t="n">
        <f aca="false">L159+M159</f>
        <v>0</v>
      </c>
      <c r="L159" s="62"/>
      <c r="M159" s="62"/>
      <c r="N159" s="61"/>
      <c r="O159" s="62" t="n">
        <f aca="false">P159+Q159</f>
        <v>0</v>
      </c>
      <c r="P159" s="62"/>
      <c r="Q159" s="63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27" t="s">
        <v>23</v>
      </c>
      <c r="H160" s="26"/>
      <c r="I160" s="58"/>
      <c r="J160" s="58"/>
      <c r="K160" s="59" t="n">
        <f aca="false">L160+M160</f>
        <v>0</v>
      </c>
      <c r="L160" s="59"/>
      <c r="M160" s="59"/>
      <c r="N160" s="58"/>
      <c r="O160" s="59" t="n">
        <f aca="false">P160+Q160</f>
        <v>0</v>
      </c>
      <c r="P160" s="59"/>
      <c r="Q160" s="60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true" outlineLevel="0" collapsed="false">
      <c r="A161" s="33"/>
      <c r="B161" s="34" t="s">
        <v>140</v>
      </c>
      <c r="C161" s="35" t="s">
        <v>20</v>
      </c>
      <c r="D161" s="35"/>
      <c r="E161" s="35" t="s">
        <v>141</v>
      </c>
      <c r="F161" s="36"/>
      <c r="G161" s="21" t="s">
        <v>22</v>
      </c>
      <c r="H161" s="38"/>
      <c r="I161" s="61"/>
      <c r="J161" s="61"/>
      <c r="K161" s="62" t="n">
        <f aca="false">L161+M161</f>
        <v>0</v>
      </c>
      <c r="L161" s="62"/>
      <c r="M161" s="62"/>
      <c r="N161" s="61"/>
      <c r="O161" s="62" t="n">
        <f aca="false">P161+Q161</f>
        <v>0</v>
      </c>
      <c r="P161" s="62"/>
      <c r="Q161" s="63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/>
      <c r="G162" s="43" t="s">
        <v>26</v>
      </c>
      <c r="H162" s="42"/>
      <c r="I162" s="64"/>
      <c r="J162" s="64"/>
      <c r="K162" s="65" t="n">
        <f aca="false">L162+M162</f>
        <v>0</v>
      </c>
      <c r="L162" s="65"/>
      <c r="M162" s="65"/>
      <c r="N162" s="64"/>
      <c r="O162" s="65" t="n">
        <f aca="false">P162+Q162</f>
        <v>0</v>
      </c>
      <c r="P162" s="65"/>
      <c r="Q162" s="6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17"/>
      <c r="B163" s="18" t="s">
        <v>142</v>
      </c>
      <c r="C163" s="19" t="s">
        <v>20</v>
      </c>
      <c r="D163" s="19"/>
      <c r="E163" s="19" t="s">
        <v>25</v>
      </c>
      <c r="F163" s="20"/>
      <c r="G163" s="21" t="s">
        <v>22</v>
      </c>
      <c r="H163" s="22"/>
      <c r="I163" s="67"/>
      <c r="J163" s="67"/>
      <c r="K163" s="68" t="n">
        <f aca="false">L163+M163</f>
        <v>0</v>
      </c>
      <c r="L163" s="68"/>
      <c r="M163" s="68"/>
      <c r="N163" s="67"/>
      <c r="O163" s="68" t="n">
        <f aca="false">P163+Q163</f>
        <v>0</v>
      </c>
      <c r="P163" s="68"/>
      <c r="Q163" s="69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/>
      <c r="G164" s="27" t="s">
        <v>26</v>
      </c>
      <c r="H164" s="26"/>
      <c r="I164" s="58"/>
      <c r="J164" s="58"/>
      <c r="K164" s="59" t="n">
        <f aca="false">L164+M164</f>
        <v>0</v>
      </c>
      <c r="L164" s="59"/>
      <c r="M164" s="59"/>
      <c r="N164" s="58"/>
      <c r="O164" s="59" t="n">
        <f aca="false">P164+Q164</f>
        <v>0</v>
      </c>
      <c r="P164" s="59"/>
      <c r="Q164" s="60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33"/>
      <c r="B165" s="34" t="s">
        <v>143</v>
      </c>
      <c r="C165" s="35" t="s">
        <v>20</v>
      </c>
      <c r="D165" s="35"/>
      <c r="E165" s="35" t="s">
        <v>25</v>
      </c>
      <c r="F165" s="36"/>
      <c r="G165" s="21" t="s">
        <v>22</v>
      </c>
      <c r="H165" s="38"/>
      <c r="I165" s="61"/>
      <c r="J165" s="61"/>
      <c r="K165" s="62" t="n">
        <f aca="false">L165+M165</f>
        <v>0</v>
      </c>
      <c r="L165" s="62"/>
      <c r="M165" s="62"/>
      <c r="N165" s="61"/>
      <c r="O165" s="62" t="n">
        <f aca="false">P165+Q165</f>
        <v>0</v>
      </c>
      <c r="P165" s="62"/>
      <c r="Q165" s="63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/>
      <c r="G166" s="43" t="s">
        <v>26</v>
      </c>
      <c r="H166" s="42"/>
      <c r="I166" s="64"/>
      <c r="J166" s="64"/>
      <c r="K166" s="65" t="n">
        <f aca="false">L166+M166</f>
        <v>0</v>
      </c>
      <c r="L166" s="65"/>
      <c r="M166" s="65"/>
      <c r="N166" s="64"/>
      <c r="O166" s="65" t="n">
        <f aca="false">P166+Q166</f>
        <v>0</v>
      </c>
      <c r="P166" s="65"/>
      <c r="Q166" s="6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 t="s">
        <v>144</v>
      </c>
      <c r="C167" s="19" t="s">
        <v>20</v>
      </c>
      <c r="D167" s="19"/>
      <c r="E167" s="19" t="s">
        <v>81</v>
      </c>
      <c r="F167" s="20"/>
      <c r="G167" s="21" t="s">
        <v>22</v>
      </c>
      <c r="H167" s="22"/>
      <c r="I167" s="67"/>
      <c r="J167" s="67"/>
      <c r="K167" s="68" t="n">
        <f aca="false">L167+M167</f>
        <v>0</v>
      </c>
      <c r="L167" s="68"/>
      <c r="M167" s="68"/>
      <c r="N167" s="67"/>
      <c r="O167" s="68" t="n">
        <f aca="false">P167+Q167</f>
        <v>0</v>
      </c>
      <c r="P167" s="68"/>
      <c r="Q167" s="69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/>
      <c r="G168" s="27" t="s">
        <v>26</v>
      </c>
      <c r="H168" s="26" t="n">
        <v>2</v>
      </c>
      <c r="I168" s="58"/>
      <c r="J168" s="58"/>
      <c r="K168" s="59" t="n">
        <f aca="false">L168+M168</f>
        <v>0</v>
      </c>
      <c r="L168" s="59"/>
      <c r="M168" s="59"/>
      <c r="N168" s="58"/>
      <c r="O168" s="59" t="n">
        <f aca="false">P168+Q168</f>
        <v>0</v>
      </c>
      <c r="P168" s="59"/>
      <c r="Q168" s="60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" hidden="false" customHeight="true" outlineLevel="0" collapsed="false">
      <c r="A169" s="33"/>
      <c r="B169" s="34" t="s">
        <v>145</v>
      </c>
      <c r="C169" s="35" t="s">
        <v>20</v>
      </c>
      <c r="D169" s="35"/>
      <c r="E169" s="35" t="s">
        <v>98</v>
      </c>
      <c r="F169" s="36"/>
      <c r="G169" s="21" t="s">
        <v>22</v>
      </c>
      <c r="H169" s="38"/>
      <c r="I169" s="61"/>
      <c r="J169" s="61"/>
      <c r="K169" s="62" t="n">
        <f aca="false">L169+M169</f>
        <v>0</v>
      </c>
      <c r="L169" s="62"/>
      <c r="M169" s="62"/>
      <c r="N169" s="61"/>
      <c r="O169" s="62" t="n">
        <f aca="false">P169+Q169</f>
        <v>0</v>
      </c>
      <c r="P169" s="62"/>
      <c r="Q169" s="63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71"/>
      <c r="G170" s="43" t="s">
        <v>23</v>
      </c>
      <c r="H170" s="42"/>
      <c r="I170" s="64"/>
      <c r="J170" s="64"/>
      <c r="K170" s="65" t="n">
        <f aca="false">L170+M170</f>
        <v>0</v>
      </c>
      <c r="L170" s="65"/>
      <c r="M170" s="65"/>
      <c r="N170" s="64"/>
      <c r="O170" s="65" t="n">
        <f aca="false">P170+Q170</f>
        <v>0</v>
      </c>
      <c r="P170" s="65"/>
      <c r="Q170" s="6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" hidden="false" customHeight="true" outlineLevel="0" collapsed="false">
      <c r="A171" s="17"/>
      <c r="B171" s="18" t="s">
        <v>146</v>
      </c>
      <c r="C171" s="19" t="s">
        <v>20</v>
      </c>
      <c r="D171" s="19"/>
      <c r="E171" s="19" t="s">
        <v>25</v>
      </c>
      <c r="F171" s="22"/>
      <c r="G171" s="21" t="s">
        <v>22</v>
      </c>
      <c r="H171" s="22"/>
      <c r="I171" s="67"/>
      <c r="J171" s="67"/>
      <c r="K171" s="68" t="n">
        <f aca="false">L171+M171</f>
        <v>0</v>
      </c>
      <c r="L171" s="68"/>
      <c r="M171" s="68"/>
      <c r="N171" s="67"/>
      <c r="O171" s="68" t="n">
        <f aca="false">P171+Q171</f>
        <v>0</v>
      </c>
      <c r="P171" s="68"/>
      <c r="Q171" s="69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/>
      <c r="G172" s="27" t="s">
        <v>26</v>
      </c>
      <c r="H172" s="26"/>
      <c r="I172" s="58"/>
      <c r="J172" s="58"/>
      <c r="K172" s="59" t="n">
        <f aca="false">L172+M172</f>
        <v>0</v>
      </c>
      <c r="L172" s="59"/>
      <c r="M172" s="59"/>
      <c r="N172" s="58"/>
      <c r="O172" s="59" t="n">
        <f aca="false">P172+Q172</f>
        <v>0</v>
      </c>
      <c r="P172" s="59"/>
      <c r="Q172" s="60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 t="s">
        <v>147</v>
      </c>
      <c r="C173" s="56" t="s">
        <v>20</v>
      </c>
      <c r="D173" s="56"/>
      <c r="E173" s="56" t="s">
        <v>25</v>
      </c>
      <c r="F173" s="97"/>
      <c r="G173" s="21" t="s">
        <v>22</v>
      </c>
      <c r="H173" s="38"/>
      <c r="I173" s="61"/>
      <c r="J173" s="61"/>
      <c r="K173" s="62" t="n">
        <f aca="false">L173+M173</f>
        <v>0</v>
      </c>
      <c r="L173" s="62"/>
      <c r="M173" s="62"/>
      <c r="N173" s="61"/>
      <c r="O173" s="62" t="n">
        <f aca="false">P173+Q173</f>
        <v>0</v>
      </c>
      <c r="P173" s="62"/>
      <c r="Q173" s="63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26"/>
      <c r="G174" s="27" t="s">
        <v>26</v>
      </c>
      <c r="H174" s="26"/>
      <c r="I174" s="58"/>
      <c r="J174" s="58"/>
      <c r="K174" s="59" t="n">
        <f aca="false">L174+M174</f>
        <v>0</v>
      </c>
      <c r="L174" s="59"/>
      <c r="M174" s="59"/>
      <c r="N174" s="58"/>
      <c r="O174" s="59" t="n">
        <f aca="false">P174+Q174</f>
        <v>0</v>
      </c>
      <c r="P174" s="59"/>
      <c r="Q174" s="98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" hidden="false" customHeight="true" outlineLevel="0" collapsed="false">
      <c r="A175" s="17"/>
      <c r="B175" s="18" t="s">
        <v>148</v>
      </c>
      <c r="C175" s="19" t="s">
        <v>20</v>
      </c>
      <c r="D175" s="19"/>
      <c r="E175" s="19" t="s">
        <v>21</v>
      </c>
      <c r="F175" s="22"/>
      <c r="G175" s="21" t="s">
        <v>22</v>
      </c>
      <c r="H175" s="22"/>
      <c r="I175" s="67"/>
      <c r="J175" s="67"/>
      <c r="K175" s="68" t="n">
        <f aca="false">L175+M175</f>
        <v>0</v>
      </c>
      <c r="L175" s="68"/>
      <c r="M175" s="68"/>
      <c r="N175" s="67"/>
      <c r="O175" s="68" t="n">
        <f aca="false">P175+Q175</f>
        <v>0</v>
      </c>
      <c r="P175" s="68"/>
      <c r="Q175" s="69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/>
      <c r="C176" s="18"/>
      <c r="D176" s="18"/>
      <c r="E176" s="18"/>
      <c r="F176" s="26"/>
      <c r="G176" s="27" t="s">
        <v>23</v>
      </c>
      <c r="H176" s="26" t="n">
        <v>1</v>
      </c>
      <c r="I176" s="58"/>
      <c r="J176" s="58"/>
      <c r="K176" s="59" t="n">
        <f aca="false">L176+M176</f>
        <v>0</v>
      </c>
      <c r="L176" s="59"/>
      <c r="M176" s="59"/>
      <c r="N176" s="58"/>
      <c r="O176" s="59" t="n">
        <f aca="false">P176+Q176</f>
        <v>0</v>
      </c>
      <c r="P176" s="59"/>
      <c r="Q176" s="60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99"/>
      <c r="B177" s="100" t="s">
        <v>149</v>
      </c>
      <c r="C177" s="100"/>
      <c r="D177" s="100"/>
      <c r="E177" s="100"/>
      <c r="F177" s="100"/>
      <c r="G177" s="100"/>
      <c r="H177" s="100" t="n">
        <f aca="false">SUM(H9:H176)</f>
        <v>43</v>
      </c>
      <c r="I177" s="100" t="n">
        <f aca="false">SUM(I9:I176)</f>
        <v>0</v>
      </c>
      <c r="J177" s="100" t="n">
        <f aca="false">SUM(J9:J176)</f>
        <v>0</v>
      </c>
      <c r="K177" s="101" t="n">
        <f aca="false">SUM(K9:K176)</f>
        <v>0</v>
      </c>
      <c r="L177" s="101" t="n">
        <f aca="false">SUM(L9:L176)</f>
        <v>0</v>
      </c>
      <c r="M177" s="102" t="n">
        <f aca="false">SUM(M9:M176)</f>
        <v>0</v>
      </c>
      <c r="N177" s="100" t="n">
        <f aca="false">SUM(N9:N176)</f>
        <v>19</v>
      </c>
      <c r="O177" s="102" t="n">
        <f aca="false">SUM(O9:O176)</f>
        <v>0</v>
      </c>
      <c r="P177" s="102" t="n">
        <f aca="false">SUM(P9:P176)</f>
        <v>0</v>
      </c>
      <c r="Q177" s="102" t="n">
        <f aca="false">SUM(Q9:Q176)</f>
        <v>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" hidden="false" customHeight="false" outlineLevel="0" collapsed="false">
      <c r="A178" s="2"/>
      <c r="B178" s="2"/>
      <c r="C178" s="2"/>
      <c r="D178" s="2"/>
      <c r="E178" s="2"/>
      <c r="F178" s="2"/>
      <c r="G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" hidden="false" customHeight="true" outlineLevel="0" collapsed="false">
      <c r="A181" s="2"/>
      <c r="B181" s="2"/>
      <c r="C181" s="2"/>
      <c r="D181" s="2"/>
      <c r="E181" s="2"/>
      <c r="F181" s="103"/>
      <c r="G181" s="104" t="s">
        <v>5</v>
      </c>
      <c r="H181" s="104"/>
      <c r="I181" s="104"/>
      <c r="J181" s="104"/>
      <c r="K181" s="104"/>
      <c r="L181" s="104"/>
      <c r="M181" s="104" t="s">
        <v>6</v>
      </c>
      <c r="N181" s="104"/>
      <c r="O181" s="104"/>
      <c r="P181" s="104"/>
      <c r="Q181" s="105" t="s">
        <v>150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false" outlineLevel="0" collapsed="false">
      <c r="A182" s="2"/>
      <c r="B182" s="2"/>
      <c r="C182" s="2"/>
      <c r="D182" s="2"/>
      <c r="E182" s="2"/>
      <c r="F182" s="103"/>
      <c r="G182" s="106" t="s">
        <v>13</v>
      </c>
      <c r="H182" s="106" t="s">
        <v>14</v>
      </c>
      <c r="I182" s="106" t="s">
        <v>15</v>
      </c>
      <c r="J182" s="106" t="s">
        <v>16</v>
      </c>
      <c r="K182" s="106" t="s">
        <v>17</v>
      </c>
      <c r="L182" s="106" t="s">
        <v>18</v>
      </c>
      <c r="M182" s="106" t="s">
        <v>15</v>
      </c>
      <c r="N182" s="106" t="s">
        <v>16</v>
      </c>
      <c r="O182" s="106" t="s">
        <v>17</v>
      </c>
      <c r="P182" s="106" t="s">
        <v>18</v>
      </c>
      <c r="Q182" s="105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" hidden="false" customHeight="false" outlineLevel="0" collapsed="false">
      <c r="A183" s="2"/>
      <c r="B183" s="2"/>
      <c r="C183" s="2"/>
      <c r="D183" s="2"/>
      <c r="E183" s="2"/>
      <c r="F183" s="107" t="s">
        <v>22</v>
      </c>
      <c r="G183" s="108" t="n">
        <f aca="false">SUMIF($G$9:$G$176,$F$183,H9:H176)</f>
        <v>29</v>
      </c>
      <c r="H183" s="108" t="n">
        <f aca="false">SUMIF($G$9:$G$176,$F$183,I9:I176)</f>
        <v>0</v>
      </c>
      <c r="I183" s="108" t="n">
        <f aca="false">SUMIF($G$9:$G$176,$F$183,J9:J176)</f>
        <v>0</v>
      </c>
      <c r="J183" s="109" t="n">
        <f aca="false">SUMIF($G$9:$G$176,$F$183,K9:K176)</f>
        <v>0</v>
      </c>
      <c r="K183" s="109" t="n">
        <f aca="false">SUMIF($G$9:$G$176,$F$183,L9:L176)</f>
        <v>0</v>
      </c>
      <c r="L183" s="109" t="n">
        <f aca="false">SUMIF($G$9:$G$176,$F$183,M9:M176)</f>
        <v>0</v>
      </c>
      <c r="M183" s="108" t="n">
        <f aca="false">SUMIF($G$9:$G$176,$F$183,N9:N176)</f>
        <v>13</v>
      </c>
      <c r="N183" s="109" t="n">
        <f aca="false">SUMIF($G$9:$G$176,$F$183,O9:O176)</f>
        <v>0</v>
      </c>
      <c r="O183" s="109" t="n">
        <f aca="false">SUMIF($G$9:$G$176,$F$183,P9:P176)</f>
        <v>0</v>
      </c>
      <c r="P183" s="109" t="n">
        <f aca="false">SUMIF($G$9:$G$176,$F$183,Q9:Q176)</f>
        <v>0</v>
      </c>
      <c r="Q183" s="110" t="n">
        <f aca="false">O183+K183</f>
        <v>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false" outlineLevel="0" collapsed="false">
      <c r="A184" s="2"/>
      <c r="B184" s="2"/>
      <c r="C184" s="2"/>
      <c r="D184" s="2"/>
      <c r="E184" s="2"/>
      <c r="F184" s="107" t="s">
        <v>26</v>
      </c>
      <c r="G184" s="108" t="n">
        <f aca="false">SUMIF($G$9:$G$176,$F$184,H9:H176)</f>
        <v>10</v>
      </c>
      <c r="H184" s="108" t="n">
        <f aca="false">SUMIF($G$9:$G$176,$F$184,I9:I176)</f>
        <v>0</v>
      </c>
      <c r="I184" s="108" t="n">
        <f aca="false">SUMIF($G$9:$G$176,$F$184,J9:J176)</f>
        <v>0</v>
      </c>
      <c r="J184" s="109" t="n">
        <f aca="false">SUMIF($G$9:$G$176,$F$184,K9:K176)</f>
        <v>0</v>
      </c>
      <c r="K184" s="109" t="n">
        <f aca="false">SUMIF($G$9:$G$176,$F$184,L9:L176)</f>
        <v>0</v>
      </c>
      <c r="L184" s="109" t="n">
        <f aca="false">SUMIF($G$9:$G$176,$F$184,M9:M176)</f>
        <v>0</v>
      </c>
      <c r="M184" s="108" t="n">
        <f aca="false">SUMIF($G$9:$G$176,$F$184,N9:N176)</f>
        <v>6</v>
      </c>
      <c r="N184" s="109" t="n">
        <f aca="false">SUMIF($G$9:$G$176,$F$184,O9:O176)</f>
        <v>0</v>
      </c>
      <c r="O184" s="109" t="n">
        <f aca="false">SUMIF($G$9:$G$176,$F$184,P9:P176)</f>
        <v>0</v>
      </c>
      <c r="P184" s="109" t="n">
        <f aca="false">SUMIF($G$9:$G$176,$F$184,Q9:Q176)</f>
        <v>0</v>
      </c>
      <c r="Q184" s="110" t="n">
        <f aca="false">O184+K184</f>
        <v>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" hidden="false" customHeight="false" outlineLevel="0" collapsed="false">
      <c r="A185" s="2"/>
      <c r="B185" s="2"/>
      <c r="C185" s="2"/>
      <c r="D185" s="2"/>
      <c r="E185" s="2"/>
      <c r="F185" s="107" t="s">
        <v>23</v>
      </c>
      <c r="G185" s="108" t="n">
        <f aca="false">SUMIF($G$9:$G$176,$F$185,H9:H176)</f>
        <v>4</v>
      </c>
      <c r="H185" s="108" t="n">
        <f aca="false">SUMIF($G$9:$G$176,$F$185,I9:I176)</f>
        <v>0</v>
      </c>
      <c r="I185" s="108" t="n">
        <f aca="false">SUMIF($G$9:$G$176,$F$185,J9:J176)</f>
        <v>0</v>
      </c>
      <c r="J185" s="109" t="n">
        <f aca="false">SUMIF($G$9:$G$176,$F$185,K9:K176)</f>
        <v>0</v>
      </c>
      <c r="K185" s="109" t="n">
        <f aca="false">SUMIF($G$9:$G$176,$F$185,L9:L176)</f>
        <v>0</v>
      </c>
      <c r="L185" s="109" t="n">
        <f aca="false">SUMIF($G$9:$G$176,$F$185,M9:M176)</f>
        <v>0</v>
      </c>
      <c r="M185" s="108" t="n">
        <f aca="false">SUMIF($G$9:$G$176,$F$185,N9:N176)</f>
        <v>0</v>
      </c>
      <c r="N185" s="109" t="n">
        <f aca="false">SUMIF($G$9:$G$176,$F$185,O9:O176)</f>
        <v>0</v>
      </c>
      <c r="O185" s="109" t="n">
        <f aca="false">SUMIF($G$9:$G$176,$F$185,P9:P176)</f>
        <v>0</v>
      </c>
      <c r="P185" s="109" t="n">
        <f aca="false">SUMIF($G$9:$G$176,$F$185,Q9:Q176)</f>
        <v>0</v>
      </c>
      <c r="Q185" s="110" t="n">
        <f aca="false">O185+K185</f>
        <v>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1" t="n">
        <f aca="false">Q185+Q184+Q183</f>
        <v>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" hidden="false" customHeight="false" outlineLevel="0" collapsed="false">
      <c r="A189" s="2"/>
      <c r="B189" s="2"/>
      <c r="C189" s="2"/>
      <c r="D189" s="2"/>
      <c r="E189" s="2"/>
      <c r="F189" s="2"/>
      <c r="G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</sheetData>
  <mergeCells count="42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3"/>
    <mergeCell ref="B71:B73"/>
    <mergeCell ref="C71:C73"/>
    <mergeCell ref="D71:D73"/>
    <mergeCell ref="E71:E73"/>
    <mergeCell ref="A74:A75"/>
    <mergeCell ref="B74:B75"/>
    <mergeCell ref="C74:C75"/>
    <mergeCell ref="D74:D75"/>
    <mergeCell ref="E74:E75"/>
    <mergeCell ref="A76:A77"/>
    <mergeCell ref="B76:B77"/>
    <mergeCell ref="C76:C77"/>
    <mergeCell ref="D76:D77"/>
    <mergeCell ref="E76:E77"/>
    <mergeCell ref="A78:A79"/>
    <mergeCell ref="B78:B79"/>
    <mergeCell ref="C78:C79"/>
    <mergeCell ref="D78:D79"/>
    <mergeCell ref="E78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2"/>
    <mergeCell ref="B90:B92"/>
    <mergeCell ref="C90:C92"/>
    <mergeCell ref="D90:D92"/>
    <mergeCell ref="E90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F181:F182"/>
    <mergeCell ref="G181:L181"/>
    <mergeCell ref="M181:P181"/>
    <mergeCell ref="Q181:Q182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C282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9" min="20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16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3</v>
      </c>
      <c r="I9" s="148"/>
      <c r="J9" s="148"/>
      <c r="K9" s="149"/>
      <c r="L9" s="149" t="n">
        <f aca="false">M9+N9</f>
        <v>0</v>
      </c>
      <c r="M9" s="149"/>
      <c r="N9" s="150"/>
      <c r="O9" s="151" t="n">
        <v>4</v>
      </c>
      <c r="P9" s="149" t="n">
        <v>2037.73</v>
      </c>
      <c r="Q9" s="149" t="n">
        <f aca="false">R9+S9</f>
        <v>0</v>
      </c>
      <c r="R9" s="149"/>
      <c r="S9" s="15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157" t="n">
        <v>1</v>
      </c>
      <c r="P10" s="155" t="n">
        <v>776.7</v>
      </c>
      <c r="Q10" s="155" t="n">
        <v>776.7</v>
      </c>
      <c r="R10" s="155" t="n">
        <v>776.7</v>
      </c>
      <c r="S10" s="156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10</v>
      </c>
      <c r="I11" s="160" t="n">
        <v>7</v>
      </c>
      <c r="J11" s="160" t="n">
        <v>8</v>
      </c>
      <c r="K11" s="161" t="n">
        <v>9438.15</v>
      </c>
      <c r="L11" s="161" t="n">
        <f aca="false">M11+N11</f>
        <v>0</v>
      </c>
      <c r="M11" s="161"/>
      <c r="N11" s="162"/>
      <c r="O11" s="163" t="n">
        <v>7</v>
      </c>
      <c r="P11" s="161" t="n">
        <v>21503.99</v>
      </c>
      <c r="Q11" s="161" t="n">
        <f aca="false">R11+S11</f>
        <v>0</v>
      </c>
      <c r="R11" s="161"/>
      <c r="S11" s="16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164" t="s">
        <v>26</v>
      </c>
      <c r="H12" s="153" t="n">
        <v>1</v>
      </c>
      <c r="I12" s="165"/>
      <c r="J12" s="165"/>
      <c r="K12" s="166"/>
      <c r="L12" s="166" t="n">
        <f aca="false">M12+N12</f>
        <v>0</v>
      </c>
      <c r="M12" s="166"/>
      <c r="N12" s="167"/>
      <c r="O12" s="168" t="n">
        <v>1</v>
      </c>
      <c r="P12" s="166" t="n">
        <v>1585.8</v>
      </c>
      <c r="Q12" s="166" t="n">
        <f aca="false">R12+S12</f>
        <v>0</v>
      </c>
      <c r="R12" s="166"/>
      <c r="S12" s="167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59" t="n">
        <v>14</v>
      </c>
      <c r="I13" s="148" t="n">
        <v>11</v>
      </c>
      <c r="J13" s="148" t="n">
        <v>14</v>
      </c>
      <c r="K13" s="149" t="n">
        <v>14356.95</v>
      </c>
      <c r="L13" s="149" t="n">
        <f aca="false">M13+N13</f>
        <v>9684.56</v>
      </c>
      <c r="M13" s="149" t="n">
        <v>9684.56</v>
      </c>
      <c r="N13" s="150"/>
      <c r="O13" s="151" t="n">
        <v>3</v>
      </c>
      <c r="P13" s="149" t="n">
        <v>7344.91</v>
      </c>
      <c r="Q13" s="149" t="n">
        <f aca="false">R13+S13</f>
        <v>4701.91</v>
      </c>
      <c r="R13" s="149" t="n">
        <v>4701.91</v>
      </c>
      <c r="S13" s="15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53" t="n">
        <v>2</v>
      </c>
      <c r="I14" s="154"/>
      <c r="J14" s="154"/>
      <c r="K14" s="155"/>
      <c r="L14" s="155" t="n">
        <v>3692.1</v>
      </c>
      <c r="M14" s="155" t="n">
        <v>3692.1</v>
      </c>
      <c r="N14" s="156"/>
      <c r="O14" s="157" t="n">
        <v>4</v>
      </c>
      <c r="P14" s="155" t="n">
        <v>5109.8</v>
      </c>
      <c r="Q14" s="155" t="n">
        <f aca="false">R14+S14</f>
        <v>0</v>
      </c>
      <c r="R14" s="155"/>
      <c r="S14" s="156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62"/>
      <c r="O15" s="163"/>
      <c r="P15" s="161"/>
      <c r="Q15" s="161" t="n">
        <f aca="false">R15+S15</f>
        <v>0</v>
      </c>
      <c r="R15" s="161"/>
      <c r="S15" s="16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2</v>
      </c>
      <c r="I16" s="165"/>
      <c r="J16" s="165"/>
      <c r="K16" s="166"/>
      <c r="L16" s="166" t="n">
        <f aca="false">M16+N16</f>
        <v>0</v>
      </c>
      <c r="M16" s="166"/>
      <c r="N16" s="167"/>
      <c r="O16" s="168" t="n">
        <v>2</v>
      </c>
      <c r="P16" s="166" t="n">
        <v>8545.7</v>
      </c>
      <c r="Q16" s="166" t="n">
        <f aca="false">R16+S16</f>
        <v>0</v>
      </c>
      <c r="R16" s="166"/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21" t="s">
        <v>22</v>
      </c>
      <c r="H17" s="193"/>
      <c r="I17" s="148"/>
      <c r="J17" s="148"/>
      <c r="K17" s="149"/>
      <c r="L17" s="149" t="n">
        <f aca="false">M17+N17</f>
        <v>0</v>
      </c>
      <c r="M17" s="149"/>
      <c r="N17" s="149"/>
      <c r="O17" s="148"/>
      <c r="P17" s="149"/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27" t="s">
        <v>26</v>
      </c>
      <c r="H18" s="218" t="n">
        <v>2</v>
      </c>
      <c r="I18" s="154"/>
      <c r="J18" s="154"/>
      <c r="K18" s="155"/>
      <c r="L18" s="155" t="n">
        <f aca="false">M18+N18</f>
        <v>0</v>
      </c>
      <c r="M18" s="155"/>
      <c r="N18" s="155"/>
      <c r="O18" s="154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6</v>
      </c>
      <c r="I19" s="160" t="n">
        <v>3</v>
      </c>
      <c r="J19" s="160" t="n">
        <v>3</v>
      </c>
      <c r="K19" s="161" t="n">
        <v>2878.23</v>
      </c>
      <c r="L19" s="161" t="n">
        <f aca="false">M19+N19</f>
        <v>0</v>
      </c>
      <c r="M19" s="161"/>
      <c r="N19" s="162"/>
      <c r="O19" s="163" t="n">
        <v>10</v>
      </c>
      <c r="P19" s="161" t="n">
        <v>14385.01</v>
      </c>
      <c r="Q19" s="161" t="n">
        <f aca="false">R19+S19</f>
        <v>9903.11</v>
      </c>
      <c r="R19" s="161" t="n">
        <v>9903.11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14</v>
      </c>
      <c r="I21" s="160" t="n">
        <v>9</v>
      </c>
      <c r="J21" s="160" t="n">
        <v>12</v>
      </c>
      <c r="K21" s="161" t="n">
        <v>13358.6</v>
      </c>
      <c r="L21" s="161" t="n">
        <f aca="false">M21+N21</f>
        <v>7998.6</v>
      </c>
      <c r="M21" s="161" t="n">
        <v>7998.6</v>
      </c>
      <c r="N21" s="162"/>
      <c r="O21" s="163" t="n">
        <v>13</v>
      </c>
      <c r="P21" s="161" t="n">
        <v>21911.73</v>
      </c>
      <c r="Q21" s="161" t="n">
        <f aca="false">R21+S21</f>
        <v>13470.86</v>
      </c>
      <c r="R21" s="161" t="n">
        <v>13470.86</v>
      </c>
      <c r="S21" s="16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67"/>
      <c r="O22" s="168"/>
      <c r="P22" s="166"/>
      <c r="Q22" s="166" t="n">
        <f aca="false">R22+S22</f>
        <v>0</v>
      </c>
      <c r="R22" s="166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2</v>
      </c>
      <c r="I23" s="148"/>
      <c r="J23" s="148"/>
      <c r="K23" s="149"/>
      <c r="L23" s="149" t="n">
        <f aca="false">M23+N23</f>
        <v>0</v>
      </c>
      <c r="M23" s="149"/>
      <c r="N23" s="150"/>
      <c r="O23" s="151"/>
      <c r="P23" s="149"/>
      <c r="Q23" s="149" t="n">
        <f aca="false">R23+S23</f>
        <v>0</v>
      </c>
      <c r="R23" s="149"/>
      <c r="S23" s="15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10</v>
      </c>
      <c r="I25" s="160" t="n">
        <v>6</v>
      </c>
      <c r="J25" s="160" t="n">
        <v>7</v>
      </c>
      <c r="K25" s="161" t="n">
        <v>13086.19</v>
      </c>
      <c r="L25" s="161" t="n">
        <f aca="false">M25+N25</f>
        <v>10416.76</v>
      </c>
      <c r="M25" s="161" t="n">
        <v>10416.76</v>
      </c>
      <c r="N25" s="162"/>
      <c r="O25" s="163" t="n">
        <v>5</v>
      </c>
      <c r="P25" s="161" t="n">
        <v>9488.54</v>
      </c>
      <c r="Q25" s="161" t="n">
        <f aca="false">R25+S25</f>
        <v>9706.58</v>
      </c>
      <c r="R25" s="161" t="n">
        <v>9706.58</v>
      </c>
      <c r="S25" s="16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/>
      <c r="J26" s="165"/>
      <c r="K26" s="166"/>
      <c r="L26" s="166" t="n">
        <f aca="false">M26+N26</f>
        <v>0</v>
      </c>
      <c r="M26" s="166"/>
      <c r="N26" s="167"/>
      <c r="O26" s="168" t="n">
        <v>6</v>
      </c>
      <c r="P26" s="166" t="n">
        <v>16386.6</v>
      </c>
      <c r="Q26" s="166" t="n">
        <f aca="false">R26+S26</f>
        <v>0</v>
      </c>
      <c r="R26" s="166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/>
      <c r="J27" s="148"/>
      <c r="K27" s="149"/>
      <c r="L27" s="149" t="n">
        <f aca="false">M27+N27</f>
        <v>0</v>
      </c>
      <c r="M27" s="149"/>
      <c r="N27" s="150"/>
      <c r="O27" s="151" t="n">
        <v>3</v>
      </c>
      <c r="P27" s="149" t="n">
        <v>6373.62</v>
      </c>
      <c r="Q27" s="149" t="n">
        <f aca="false">R27+S27</f>
        <v>3202.02</v>
      </c>
      <c r="R27" s="149" t="n">
        <v>3202.02</v>
      </c>
      <c r="S27" s="150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3</v>
      </c>
      <c r="I28" s="165"/>
      <c r="J28" s="165"/>
      <c r="K28" s="166"/>
      <c r="L28" s="166" t="n">
        <f aca="false">M28+N28</f>
        <v>0</v>
      </c>
      <c r="M28" s="166"/>
      <c r="N28" s="167"/>
      <c r="O28" s="168" t="n">
        <v>3</v>
      </c>
      <c r="P28" s="166" t="n">
        <v>11981.6</v>
      </c>
      <c r="Q28" s="166" t="n">
        <f aca="false">R28+S28</f>
        <v>0</v>
      </c>
      <c r="R28" s="166"/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/>
      <c r="D29" s="19"/>
      <c r="E29" s="19"/>
      <c r="F29" s="20"/>
      <c r="G29" s="146" t="s">
        <v>22</v>
      </c>
      <c r="H29" s="147" t="n">
        <v>2</v>
      </c>
      <c r="I29" s="148"/>
      <c r="J29" s="148"/>
      <c r="K29" s="149"/>
      <c r="L29" s="149" t="n">
        <f aca="false">M29+N29</f>
        <v>0</v>
      </c>
      <c r="M29" s="149"/>
      <c r="N29" s="150"/>
      <c r="O29" s="151"/>
      <c r="P29" s="149"/>
      <c r="Q29" s="149" t="n">
        <f aca="false">R29+S29</f>
        <v>0</v>
      </c>
      <c r="R29" s="149"/>
      <c r="S29" s="15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3</v>
      </c>
      <c r="I30" s="165"/>
      <c r="J30" s="165"/>
      <c r="K30" s="166"/>
      <c r="L30" s="166" t="n">
        <f aca="false">M30+N30</f>
        <v>0</v>
      </c>
      <c r="M30" s="166"/>
      <c r="N30" s="167"/>
      <c r="O30" s="168"/>
      <c r="P30" s="166"/>
      <c r="Q30" s="166" t="n">
        <f aca="false">R30+S30</f>
        <v>0</v>
      </c>
      <c r="R30" s="166"/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21" t="s">
        <v>22</v>
      </c>
      <c r="H31" s="21"/>
      <c r="I31" s="148"/>
      <c r="J31" s="148"/>
      <c r="K31" s="149"/>
      <c r="L31" s="149" t="n">
        <f aca="false">M31+N31</f>
        <v>0</v>
      </c>
      <c r="M31" s="149"/>
      <c r="N31" s="149"/>
      <c r="O31" s="148"/>
      <c r="P31" s="149"/>
      <c r="Q31" s="149" t="n">
        <f aca="false">R31+S31</f>
        <v>0</v>
      </c>
      <c r="R31" s="149"/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27" t="s">
        <v>26</v>
      </c>
      <c r="H32" s="27"/>
      <c r="I32" s="154"/>
      <c r="J32" s="154"/>
      <c r="K32" s="155"/>
      <c r="L32" s="155" t="n">
        <f aca="false">M32+N32</f>
        <v>0</v>
      </c>
      <c r="M32" s="155"/>
      <c r="N32" s="155"/>
      <c r="O32" s="154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62"/>
      <c r="O33" s="163"/>
      <c r="P33" s="161"/>
      <c r="Q33" s="161" t="n">
        <f aca="false">R33+S33</f>
        <v>0</v>
      </c>
      <c r="R33" s="161"/>
      <c r="S33" s="16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7</v>
      </c>
      <c r="I35" s="160" t="n">
        <v>3</v>
      </c>
      <c r="J35" s="160" t="n">
        <v>3</v>
      </c>
      <c r="K35" s="161" t="n">
        <v>4815.55</v>
      </c>
      <c r="L35" s="161" t="n">
        <f aca="false">M35+N35</f>
        <v>4815.55</v>
      </c>
      <c r="M35" s="161" t="n">
        <v>4815.55</v>
      </c>
      <c r="N35" s="162"/>
      <c r="O35" s="163" t="n">
        <v>8</v>
      </c>
      <c r="P35" s="161" t="n">
        <v>22406.54</v>
      </c>
      <c r="Q35" s="161" t="n">
        <f aca="false">R35+S35</f>
        <v>17818.29</v>
      </c>
      <c r="R35" s="161" t="n">
        <v>17818.29</v>
      </c>
      <c r="S35" s="162"/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/>
      <c r="I36" s="154"/>
      <c r="J36" s="154"/>
      <c r="K36" s="155"/>
      <c r="L36" s="155" t="n">
        <f aca="false">M36+N36</f>
        <v>0</v>
      </c>
      <c r="M36" s="155"/>
      <c r="N36" s="156"/>
      <c r="O36" s="157" t="n">
        <v>2</v>
      </c>
      <c r="P36" s="155" t="n">
        <v>7400.4</v>
      </c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6</v>
      </c>
      <c r="I37" s="160" t="n">
        <v>5</v>
      </c>
      <c r="J37" s="160" t="n">
        <v>6</v>
      </c>
      <c r="K37" s="161" t="n">
        <v>10844.41</v>
      </c>
      <c r="L37" s="161" t="n">
        <f aca="false">M37+N37</f>
        <v>1924.1</v>
      </c>
      <c r="M37" s="161" t="n">
        <v>1924.1</v>
      </c>
      <c r="N37" s="162"/>
      <c r="O37" s="163" t="n">
        <v>13</v>
      </c>
      <c r="P37" s="161" t="n">
        <v>52304.05</v>
      </c>
      <c r="Q37" s="161" t="n">
        <f aca="false">R37+S37</f>
        <v>15233.45</v>
      </c>
      <c r="R37" s="161" t="n">
        <v>15233.45</v>
      </c>
      <c r="S37" s="16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67"/>
      <c r="O38" s="168"/>
      <c r="P38" s="166"/>
      <c r="Q38" s="166" t="n">
        <f aca="false">R38+S38</f>
        <v>0</v>
      </c>
      <c r="R38" s="166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1</v>
      </c>
      <c r="I39" s="148" t="n">
        <v>1</v>
      </c>
      <c r="J39" s="148" t="n">
        <v>1</v>
      </c>
      <c r="K39" s="149" t="n">
        <v>621.99</v>
      </c>
      <c r="L39" s="149" t="n">
        <f aca="false">M39+N39</f>
        <v>0</v>
      </c>
      <c r="M39" s="149"/>
      <c r="N39" s="150"/>
      <c r="O39" s="151"/>
      <c r="P39" s="149"/>
      <c r="Q39" s="149" t="n">
        <f aca="false">R39+S39</f>
        <v>0</v>
      </c>
      <c r="R39" s="149"/>
      <c r="S39" s="15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1" t="n">
        <v>3</v>
      </c>
      <c r="I40" s="165"/>
      <c r="J40" s="165"/>
      <c r="K40" s="166"/>
      <c r="L40" s="166" t="n">
        <f aca="false">M40+N40</f>
        <v>0</v>
      </c>
      <c r="M40" s="166"/>
      <c r="N40" s="167"/>
      <c r="O40" s="168" t="n">
        <v>1</v>
      </c>
      <c r="P40" s="166" t="n">
        <v>8475.2</v>
      </c>
      <c r="Q40" s="166" t="n">
        <f aca="false">R40+S40</f>
        <v>0</v>
      </c>
      <c r="R40" s="166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69"/>
      <c r="I41" s="148"/>
      <c r="J41" s="148"/>
      <c r="K41" s="149"/>
      <c r="L41" s="149" t="n">
        <f aca="false">M41+N41</f>
        <v>0</v>
      </c>
      <c r="M41" s="149"/>
      <c r="N41" s="150"/>
      <c r="O41" s="151" t="n">
        <v>3</v>
      </c>
      <c r="P41" s="149" t="n">
        <v>4593.81</v>
      </c>
      <c r="Q41" s="149" t="n">
        <f aca="false">R41+S41</f>
        <v>0</v>
      </c>
      <c r="R41" s="149"/>
      <c r="S41" s="150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53" t="n">
        <v>2</v>
      </c>
      <c r="I42" s="154"/>
      <c r="J42" s="154"/>
      <c r="K42" s="155"/>
      <c r="L42" s="155" t="n">
        <v>528.6</v>
      </c>
      <c r="M42" s="155" t="n">
        <v>528.6</v>
      </c>
      <c r="N42" s="156"/>
      <c r="O42" s="157" t="n">
        <v>2</v>
      </c>
      <c r="P42" s="155" t="n">
        <v>2114.4</v>
      </c>
      <c r="Q42" s="155" t="n">
        <f aca="false">R42+S42</f>
        <v>0</v>
      </c>
      <c r="R42" s="155"/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62"/>
      <c r="O43" s="163"/>
      <c r="P43" s="161"/>
      <c r="Q43" s="161" t="n">
        <f aca="false">R43+S43</f>
        <v>0</v>
      </c>
      <c r="R43" s="161"/>
      <c r="S43" s="16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1</v>
      </c>
      <c r="I45" s="160"/>
      <c r="J45" s="160"/>
      <c r="K45" s="161"/>
      <c r="L45" s="161" t="n">
        <f aca="false">M45+N45</f>
        <v>0</v>
      </c>
      <c r="M45" s="161"/>
      <c r="N45" s="162"/>
      <c r="O45" s="163" t="n">
        <v>1</v>
      </c>
      <c r="P45" s="161" t="n">
        <v>5039.32</v>
      </c>
      <c r="Q45" s="161" t="n">
        <f aca="false">R45+S45</f>
        <v>5039.32</v>
      </c>
      <c r="R45" s="161" t="n">
        <v>5039.32</v>
      </c>
      <c r="S45" s="16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67"/>
      <c r="O46" s="168"/>
      <c r="P46" s="166"/>
      <c r="Q46" s="166" t="n">
        <f aca="false">R46+S46</f>
        <v>0</v>
      </c>
      <c r="R46" s="166"/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36</v>
      </c>
      <c r="I47" s="148" t="n">
        <v>26</v>
      </c>
      <c r="J47" s="148" t="n">
        <v>26</v>
      </c>
      <c r="K47" s="149" t="n">
        <v>23453.39</v>
      </c>
      <c r="L47" s="149" t="n">
        <f aca="false">M47+N47</f>
        <v>14941.16</v>
      </c>
      <c r="M47" s="149" t="n">
        <v>14941.16</v>
      </c>
      <c r="N47" s="150"/>
      <c r="O47" s="151"/>
      <c r="P47" s="149"/>
      <c r="Q47" s="149" t="n">
        <f aca="false">R47+S47</f>
        <v>0</v>
      </c>
      <c r="R47" s="149"/>
      <c r="S47" s="15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3</v>
      </c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8</v>
      </c>
      <c r="I49" s="160" t="n">
        <v>4</v>
      </c>
      <c r="J49" s="160" t="n">
        <v>6</v>
      </c>
      <c r="K49" s="161" t="n">
        <v>7082.9</v>
      </c>
      <c r="L49" s="161" t="n">
        <f aca="false">M49+N49</f>
        <v>1830.37</v>
      </c>
      <c r="M49" s="161" t="n">
        <v>1830.37</v>
      </c>
      <c r="N49" s="162"/>
      <c r="O49" s="163" t="n">
        <v>13</v>
      </c>
      <c r="P49" s="161" t="n">
        <v>37948.58</v>
      </c>
      <c r="Q49" s="161" t="n">
        <f aca="false">R49+S49</f>
        <v>34571.95</v>
      </c>
      <c r="R49" s="161" t="n">
        <v>34571.95</v>
      </c>
      <c r="S49" s="16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/>
      <c r="I51" s="160"/>
      <c r="J51" s="160"/>
      <c r="K51" s="161"/>
      <c r="L51" s="161" t="n">
        <f aca="false">M51+N51</f>
        <v>0</v>
      </c>
      <c r="M51" s="161"/>
      <c r="N51" s="162"/>
      <c r="O51" s="163" t="n">
        <v>1</v>
      </c>
      <c r="P51" s="161" t="n">
        <v>3805.92</v>
      </c>
      <c r="Q51" s="161" t="n">
        <f aca="false">R51+S51</f>
        <v>3805.92</v>
      </c>
      <c r="R51" s="161" t="n">
        <v>3805.92</v>
      </c>
      <c r="S51" s="16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6" t="n">
        <v>1409.6</v>
      </c>
      <c r="M52" s="166" t="n">
        <v>1409.6</v>
      </c>
      <c r="N52" s="167"/>
      <c r="O52" s="168" t="n">
        <v>7</v>
      </c>
      <c r="P52" s="166" t="n">
        <v>14217.29</v>
      </c>
      <c r="Q52" s="166" t="n">
        <f aca="false">R52+S52</f>
        <v>0</v>
      </c>
      <c r="R52" s="166"/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1</v>
      </c>
      <c r="I53" s="148"/>
      <c r="J53" s="148"/>
      <c r="K53" s="149"/>
      <c r="L53" s="149" t="n">
        <f aca="false">M53+N53</f>
        <v>0</v>
      </c>
      <c r="M53" s="149"/>
      <c r="N53" s="150"/>
      <c r="O53" s="151"/>
      <c r="P53" s="149"/>
      <c r="Q53" s="149" t="n">
        <f aca="false">R53+S53</f>
        <v>0</v>
      </c>
      <c r="R53" s="149"/>
      <c r="S53" s="15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67"/>
      <c r="O54" s="168"/>
      <c r="P54" s="166"/>
      <c r="Q54" s="166" t="n">
        <f aca="false">R54+S54</f>
        <v>0</v>
      </c>
      <c r="R54" s="166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155</v>
      </c>
      <c r="C55" s="19"/>
      <c r="D55" s="19"/>
      <c r="E55" s="19"/>
      <c r="F55" s="20"/>
      <c r="G55" s="146" t="s">
        <v>22</v>
      </c>
      <c r="H55" s="173" t="n">
        <v>5</v>
      </c>
      <c r="I55" s="148" t="n">
        <v>4</v>
      </c>
      <c r="J55" s="148" t="n">
        <v>4</v>
      </c>
      <c r="K55" s="149" t="n">
        <v>5021.7</v>
      </c>
      <c r="L55" s="149" t="n">
        <f aca="false">M55+N55</f>
        <v>0</v>
      </c>
      <c r="M55" s="149"/>
      <c r="N55" s="150"/>
      <c r="O55" s="151"/>
      <c r="P55" s="149"/>
      <c r="Q55" s="149" t="n">
        <f aca="false">R55+S55</f>
        <v>0</v>
      </c>
      <c r="R55" s="149"/>
      <c r="S55" s="15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71"/>
      <c r="G56" s="164" t="s">
        <v>26</v>
      </c>
      <c r="H56" s="177"/>
      <c r="I56" s="165"/>
      <c r="J56" s="165"/>
      <c r="K56" s="166"/>
      <c r="L56" s="166" t="n">
        <f aca="false">M56+N56</f>
        <v>0</v>
      </c>
      <c r="M56" s="166"/>
      <c r="N56" s="167"/>
      <c r="O56" s="168"/>
      <c r="P56" s="166"/>
      <c r="Q56" s="166" t="n">
        <f aca="false">R56+S56</f>
        <v>0</v>
      </c>
      <c r="R56" s="166"/>
      <c r="S56" s="167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17"/>
      <c r="B57" s="18" t="s">
        <v>221</v>
      </c>
      <c r="C57" s="19"/>
      <c r="D57" s="19"/>
      <c r="E57" s="19"/>
      <c r="F57" s="20"/>
      <c r="G57" s="146" t="s">
        <v>22</v>
      </c>
      <c r="H57" s="173" t="n">
        <v>4</v>
      </c>
      <c r="I57" s="148"/>
      <c r="J57" s="148"/>
      <c r="K57" s="149"/>
      <c r="L57" s="149" t="n">
        <f aca="false">M57+N57</f>
        <v>0</v>
      </c>
      <c r="M57" s="149"/>
      <c r="N57" s="150"/>
      <c r="O57" s="151"/>
      <c r="P57" s="149"/>
      <c r="Q57" s="149" t="n">
        <f aca="false">R57+S57</f>
        <v>0</v>
      </c>
      <c r="R57" s="149"/>
      <c r="S57" s="15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17"/>
      <c r="B58" s="18"/>
      <c r="C58" s="18"/>
      <c r="D58" s="18"/>
      <c r="E58" s="18"/>
      <c r="F58" s="26" t="s">
        <v>233</v>
      </c>
      <c r="G58" s="152" t="s">
        <v>23</v>
      </c>
      <c r="H58" s="174" t="n">
        <v>1</v>
      </c>
      <c r="I58" s="154"/>
      <c r="J58" s="154"/>
      <c r="K58" s="155"/>
      <c r="L58" s="155" t="n">
        <f aca="false">M58+N58</f>
        <v>0</v>
      </c>
      <c r="M58" s="155"/>
      <c r="N58" s="156"/>
      <c r="O58" s="157"/>
      <c r="P58" s="155"/>
      <c r="Q58" s="155" t="n">
        <f aca="false">R58+S58</f>
        <v>0</v>
      </c>
      <c r="R58" s="155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33"/>
      <c r="B59" s="34" t="s">
        <v>58</v>
      </c>
      <c r="C59" s="35" t="s">
        <v>20</v>
      </c>
      <c r="D59" s="35"/>
      <c r="E59" s="35" t="s">
        <v>52</v>
      </c>
      <c r="F59" s="36"/>
      <c r="G59" s="158" t="s">
        <v>22</v>
      </c>
      <c r="H59" s="159" t="n">
        <v>5</v>
      </c>
      <c r="I59" s="160" t="n">
        <v>2</v>
      </c>
      <c r="J59" s="160" t="n">
        <v>2</v>
      </c>
      <c r="K59" s="161" t="n">
        <v>2238.62</v>
      </c>
      <c r="L59" s="161" t="n">
        <f aca="false">M59+N59</f>
        <v>2238.62</v>
      </c>
      <c r="M59" s="161" t="n">
        <v>2238.62</v>
      </c>
      <c r="N59" s="162"/>
      <c r="O59" s="163" t="n">
        <v>6</v>
      </c>
      <c r="P59" s="161" t="n">
        <v>10782.51</v>
      </c>
      <c r="Q59" s="161" t="n">
        <f aca="false">R59+S59</f>
        <v>11963.05</v>
      </c>
      <c r="R59" s="161" t="n">
        <v>11963.05</v>
      </c>
      <c r="S59" s="16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71"/>
      <c r="G60" s="164" t="s">
        <v>26</v>
      </c>
      <c r="H60" s="175"/>
      <c r="I60" s="165"/>
      <c r="J60" s="165"/>
      <c r="K60" s="166"/>
      <c r="L60" s="166" t="n">
        <f aca="false">M60+N60</f>
        <v>0</v>
      </c>
      <c r="M60" s="166"/>
      <c r="N60" s="167"/>
      <c r="O60" s="168"/>
      <c r="P60" s="166"/>
      <c r="Q60" s="166" t="n">
        <f aca="false">R60+S60</f>
        <v>0</v>
      </c>
      <c r="R60" s="166"/>
      <c r="S60" s="167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222</v>
      </c>
      <c r="C61" s="19"/>
      <c r="D61" s="49"/>
      <c r="E61" s="19"/>
      <c r="F61" s="22"/>
      <c r="G61" s="146" t="s">
        <v>22</v>
      </c>
      <c r="H61" s="147" t="n">
        <v>5</v>
      </c>
      <c r="I61" s="148"/>
      <c r="J61" s="148"/>
      <c r="K61" s="149"/>
      <c r="L61" s="149" t="n">
        <f aca="false">M61+N61</f>
        <v>0</v>
      </c>
      <c r="M61" s="149"/>
      <c r="N61" s="150"/>
      <c r="O61" s="151"/>
      <c r="P61" s="149"/>
      <c r="Q61" s="149" t="n">
        <f aca="false">R61+S61</f>
        <v>0</v>
      </c>
      <c r="R61" s="149"/>
      <c r="S61" s="15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26" t="s">
        <v>234</v>
      </c>
      <c r="G62" s="152" t="s">
        <v>23</v>
      </c>
      <c r="H62" s="176" t="n">
        <v>1</v>
      </c>
      <c r="I62" s="154"/>
      <c r="J62" s="154"/>
      <c r="K62" s="155"/>
      <c r="L62" s="155" t="n">
        <f aca="false">M62+N62</f>
        <v>0</v>
      </c>
      <c r="M62" s="155"/>
      <c r="N62" s="156"/>
      <c r="O62" s="157"/>
      <c r="P62" s="155"/>
      <c r="Q62" s="155" t="n">
        <f aca="false">R62+S62</f>
        <v>0</v>
      </c>
      <c r="R62" s="155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33"/>
      <c r="B63" s="34" t="s">
        <v>59</v>
      </c>
      <c r="C63" s="35" t="s">
        <v>20</v>
      </c>
      <c r="D63" s="95"/>
      <c r="E63" s="35" t="s">
        <v>25</v>
      </c>
      <c r="F63" s="38"/>
      <c r="G63" s="158" t="s">
        <v>22</v>
      </c>
      <c r="H63" s="169"/>
      <c r="I63" s="160"/>
      <c r="J63" s="160"/>
      <c r="K63" s="161"/>
      <c r="L63" s="161" t="n">
        <f aca="false">M63+N63</f>
        <v>0</v>
      </c>
      <c r="M63" s="161"/>
      <c r="N63" s="162"/>
      <c r="O63" s="163"/>
      <c r="P63" s="161"/>
      <c r="Q63" s="161" t="n">
        <f aca="false">R63+S63</f>
        <v>0</v>
      </c>
      <c r="R63" s="161"/>
      <c r="S63" s="16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71"/>
      <c r="G64" s="164" t="s">
        <v>26</v>
      </c>
      <c r="H64" s="153"/>
      <c r="I64" s="165"/>
      <c r="J64" s="165"/>
      <c r="K64" s="166"/>
      <c r="L64" s="166" t="n">
        <f aca="false">M64+N64</f>
        <v>0</v>
      </c>
      <c r="M64" s="166"/>
      <c r="N64" s="167"/>
      <c r="O64" s="168"/>
      <c r="P64" s="166"/>
      <c r="Q64" s="166" t="n">
        <f aca="false">R64+S64</f>
        <v>0</v>
      </c>
      <c r="R64" s="166"/>
      <c r="S64" s="167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17"/>
      <c r="B65" s="18" t="s">
        <v>60</v>
      </c>
      <c r="C65" s="19" t="s">
        <v>20</v>
      </c>
      <c r="D65" s="19"/>
      <c r="E65" s="19" t="s">
        <v>21</v>
      </c>
      <c r="F65" s="22"/>
      <c r="G65" s="146" t="s">
        <v>22</v>
      </c>
      <c r="H65" s="169" t="n">
        <v>1</v>
      </c>
      <c r="I65" s="148"/>
      <c r="J65" s="148"/>
      <c r="K65" s="149"/>
      <c r="L65" s="149" t="n">
        <f aca="false">M65+N65</f>
        <v>0</v>
      </c>
      <c r="M65" s="149"/>
      <c r="N65" s="150"/>
      <c r="O65" s="151"/>
      <c r="P65" s="149"/>
      <c r="Q65" s="149" t="n">
        <f aca="false">R65+S65</f>
        <v>0</v>
      </c>
      <c r="R65" s="149"/>
      <c r="S65" s="15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71"/>
      <c r="G66" s="164" t="s">
        <v>23</v>
      </c>
      <c r="H66" s="175"/>
      <c r="I66" s="165"/>
      <c r="J66" s="165"/>
      <c r="K66" s="166"/>
      <c r="L66" s="166" t="n">
        <f aca="false">M66+N66</f>
        <v>0</v>
      </c>
      <c r="M66" s="166"/>
      <c r="N66" s="167"/>
      <c r="O66" s="168"/>
      <c r="P66" s="166"/>
      <c r="Q66" s="166" t="n">
        <f aca="false">R66+S66</f>
        <v>0</v>
      </c>
      <c r="R66" s="166"/>
      <c r="S66" s="167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.75" hidden="false" customHeight="true" outlineLevel="0" collapsed="false">
      <c r="A67" s="17"/>
      <c r="B67" s="18" t="s">
        <v>223</v>
      </c>
      <c r="C67" s="19"/>
      <c r="D67" s="19"/>
      <c r="E67" s="19"/>
      <c r="F67" s="20"/>
      <c r="G67" s="146" t="s">
        <v>22</v>
      </c>
      <c r="H67" s="173" t="n">
        <v>4</v>
      </c>
      <c r="I67" s="148"/>
      <c r="J67" s="148"/>
      <c r="K67" s="149"/>
      <c r="L67" s="149" t="n">
        <f aca="false">M67+N67</f>
        <v>0</v>
      </c>
      <c r="M67" s="149"/>
      <c r="N67" s="150"/>
      <c r="O67" s="151"/>
      <c r="P67" s="149"/>
      <c r="Q67" s="149" t="n">
        <f aca="false">R67+S67</f>
        <v>0</v>
      </c>
      <c r="R67" s="149"/>
      <c r="S67" s="15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17"/>
      <c r="B68" s="18"/>
      <c r="C68" s="18"/>
      <c r="D68" s="18"/>
      <c r="E68" s="18"/>
      <c r="F68" s="26" t="s">
        <v>235</v>
      </c>
      <c r="G68" s="152" t="s">
        <v>23</v>
      </c>
      <c r="H68" s="174" t="n">
        <v>11</v>
      </c>
      <c r="I68" s="154"/>
      <c r="J68" s="154"/>
      <c r="K68" s="155"/>
      <c r="L68" s="155" t="n">
        <f aca="false">M68+N68</f>
        <v>0</v>
      </c>
      <c r="M68" s="155"/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.75" hidden="false" customHeight="true" outlineLevel="0" collapsed="false">
      <c r="A69" s="33"/>
      <c r="B69" s="34" t="s">
        <v>61</v>
      </c>
      <c r="C69" s="35" t="s">
        <v>33</v>
      </c>
      <c r="D69" s="56" t="s">
        <v>62</v>
      </c>
      <c r="E69" s="35" t="s">
        <v>25</v>
      </c>
      <c r="F69" s="36"/>
      <c r="G69" s="158" t="s">
        <v>22</v>
      </c>
      <c r="H69" s="159" t="n">
        <v>3</v>
      </c>
      <c r="I69" s="160" t="n">
        <v>3</v>
      </c>
      <c r="J69" s="160" t="n">
        <v>3</v>
      </c>
      <c r="K69" s="161" t="n">
        <v>4510.72</v>
      </c>
      <c r="L69" s="161" t="n">
        <f aca="false">M69+N69</f>
        <v>0</v>
      </c>
      <c r="M69" s="161"/>
      <c r="N69" s="162"/>
      <c r="O69" s="163" t="n">
        <v>1</v>
      </c>
      <c r="P69" s="161" t="n">
        <v>5123.54</v>
      </c>
      <c r="Q69" s="161" t="n">
        <f aca="false">R69+S69</f>
        <v>0</v>
      </c>
      <c r="R69" s="161"/>
      <c r="S69" s="16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56"/>
      <c r="E70" s="35"/>
      <c r="F70" s="42" t="s">
        <v>173</v>
      </c>
      <c r="G70" s="164" t="s">
        <v>26</v>
      </c>
      <c r="H70" s="153" t="n">
        <v>2</v>
      </c>
      <c r="I70" s="165"/>
      <c r="J70" s="165"/>
      <c r="K70" s="166"/>
      <c r="L70" s="166" t="n">
        <f aca="false">M70+N70</f>
        <v>0</v>
      </c>
      <c r="M70" s="166"/>
      <c r="N70" s="167"/>
      <c r="O70" s="168" t="n">
        <v>2</v>
      </c>
      <c r="P70" s="166" t="n">
        <v>3171.6</v>
      </c>
      <c r="Q70" s="166" t="n">
        <f aca="false">R70+S70</f>
        <v>0</v>
      </c>
      <c r="R70" s="166"/>
      <c r="S70" s="167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.75" hidden="false" customHeight="true" outlineLevel="0" collapsed="false">
      <c r="A71" s="72"/>
      <c r="B71" s="73" t="s">
        <v>63</v>
      </c>
      <c r="C71" s="74" t="s">
        <v>20</v>
      </c>
      <c r="D71" s="74"/>
      <c r="E71" s="74" t="s">
        <v>25</v>
      </c>
      <c r="F71" s="20"/>
      <c r="G71" s="146" t="s">
        <v>22</v>
      </c>
      <c r="H71" s="169" t="n">
        <v>1</v>
      </c>
      <c r="I71" s="148"/>
      <c r="J71" s="148"/>
      <c r="K71" s="149"/>
      <c r="L71" s="149" t="n">
        <f aca="false">M71+N71</f>
        <v>0</v>
      </c>
      <c r="M71" s="149"/>
      <c r="N71" s="150"/>
      <c r="O71" s="151" t="n">
        <v>6</v>
      </c>
      <c r="P71" s="149" t="n">
        <v>13107.29</v>
      </c>
      <c r="Q71" s="149" t="n">
        <f aca="false">R71+S71</f>
        <v>2616.57</v>
      </c>
      <c r="R71" s="149" t="n">
        <v>2616.57</v>
      </c>
      <c r="S71" s="15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72"/>
      <c r="B72" s="73"/>
      <c r="C72" s="73"/>
      <c r="D72" s="73"/>
      <c r="E72" s="73"/>
      <c r="F72" s="42" t="s">
        <v>174</v>
      </c>
      <c r="G72" s="164" t="s">
        <v>26</v>
      </c>
      <c r="H72" s="153"/>
      <c r="I72" s="165"/>
      <c r="J72" s="165"/>
      <c r="K72" s="166"/>
      <c r="L72" s="166" t="n">
        <f aca="false">M72+N72</f>
        <v>0</v>
      </c>
      <c r="M72" s="166"/>
      <c r="N72" s="167"/>
      <c r="O72" s="168"/>
      <c r="P72" s="166"/>
      <c r="Q72" s="166" t="n">
        <f aca="false">R72+S72</f>
        <v>0</v>
      </c>
      <c r="R72" s="166"/>
      <c r="S72" s="167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72"/>
      <c r="B73" s="73" t="s">
        <v>64</v>
      </c>
      <c r="C73" s="74" t="s">
        <v>20</v>
      </c>
      <c r="D73" s="74"/>
      <c r="E73" s="74" t="s">
        <v>25</v>
      </c>
      <c r="F73" s="20"/>
      <c r="G73" s="146" t="s">
        <v>22</v>
      </c>
      <c r="H73" s="169"/>
      <c r="I73" s="148"/>
      <c r="J73" s="148"/>
      <c r="K73" s="149"/>
      <c r="L73" s="149" t="n">
        <f aca="false">M73+N73</f>
        <v>0</v>
      </c>
      <c r="M73" s="149"/>
      <c r="N73" s="150"/>
      <c r="O73" s="151"/>
      <c r="P73" s="149"/>
      <c r="Q73" s="149" t="n">
        <f aca="false">R73+S73</f>
        <v>0</v>
      </c>
      <c r="R73" s="149"/>
      <c r="S73" s="15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72"/>
      <c r="B74" s="73"/>
      <c r="C74" s="73"/>
      <c r="D74" s="73"/>
      <c r="E74" s="73"/>
      <c r="F74" s="71"/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67"/>
      <c r="O74" s="168"/>
      <c r="P74" s="166"/>
      <c r="Q74" s="166" t="n">
        <f aca="false">R74+S74</f>
        <v>0</v>
      </c>
      <c r="R74" s="166"/>
      <c r="S74" s="167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17"/>
      <c r="B75" s="18" t="s">
        <v>65</v>
      </c>
      <c r="C75" s="19" t="s">
        <v>33</v>
      </c>
      <c r="D75" s="19" t="s">
        <v>66</v>
      </c>
      <c r="E75" s="19" t="s">
        <v>67</v>
      </c>
      <c r="F75" s="20"/>
      <c r="G75" s="146" t="s">
        <v>22</v>
      </c>
      <c r="H75" s="159" t="n">
        <v>3</v>
      </c>
      <c r="I75" s="148" t="n">
        <v>2</v>
      </c>
      <c r="J75" s="148" t="n">
        <v>2</v>
      </c>
      <c r="K75" s="149" t="n">
        <v>1573.47</v>
      </c>
      <c r="L75" s="149" t="n">
        <f aca="false">M75+N75</f>
        <v>704.8</v>
      </c>
      <c r="M75" s="149" t="n">
        <v>704.8</v>
      </c>
      <c r="N75" s="150"/>
      <c r="O75" s="151" t="n">
        <v>3</v>
      </c>
      <c r="P75" s="149" t="n">
        <v>8219.9</v>
      </c>
      <c r="Q75" s="149" t="n">
        <f aca="false">R75+S75</f>
        <v>4384.96</v>
      </c>
      <c r="R75" s="149" t="n">
        <v>4384.96</v>
      </c>
      <c r="S75" s="15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42" t="s">
        <v>236</v>
      </c>
      <c r="G76" s="164" t="s">
        <v>23</v>
      </c>
      <c r="H76" s="172" t="n">
        <v>23</v>
      </c>
      <c r="I76" s="165" t="n">
        <v>4</v>
      </c>
      <c r="J76" s="165" t="n">
        <v>4</v>
      </c>
      <c r="K76" s="166" t="n">
        <v>3876.4</v>
      </c>
      <c r="L76" s="166" t="n">
        <v>0</v>
      </c>
      <c r="M76" s="166" t="n">
        <v>0</v>
      </c>
      <c r="N76" s="167"/>
      <c r="O76" s="168" t="n">
        <v>19</v>
      </c>
      <c r="P76" s="166" t="n">
        <v>46548.22</v>
      </c>
      <c r="Q76" s="166" t="n">
        <v>3788.3</v>
      </c>
      <c r="R76" s="166" t="n">
        <v>3788.3</v>
      </c>
      <c r="S76" s="167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17"/>
      <c r="B77" s="18" t="s">
        <v>175</v>
      </c>
      <c r="C77" s="19"/>
      <c r="D77" s="19"/>
      <c r="E77" s="19"/>
      <c r="F77" s="137"/>
      <c r="G77" s="146" t="s">
        <v>22</v>
      </c>
      <c r="H77" s="147"/>
      <c r="I77" s="148"/>
      <c r="J77" s="148"/>
      <c r="K77" s="149"/>
      <c r="L77" s="149" t="n">
        <f aca="false">M77+N77</f>
        <v>0</v>
      </c>
      <c r="M77" s="149"/>
      <c r="N77" s="150"/>
      <c r="O77" s="151"/>
      <c r="P77" s="149"/>
      <c r="Q77" s="149" t="n">
        <f aca="false">R77+S77</f>
        <v>0</v>
      </c>
      <c r="R77" s="149"/>
      <c r="S77" s="15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" hidden="false" customHeight="false" outlineLevel="0" collapsed="false">
      <c r="A78" s="17"/>
      <c r="B78" s="18"/>
      <c r="C78" s="18"/>
      <c r="D78" s="18"/>
      <c r="E78" s="18"/>
      <c r="F78" s="89"/>
      <c r="G78" s="164" t="s">
        <v>26</v>
      </c>
      <c r="H78" s="178" t="n">
        <v>4</v>
      </c>
      <c r="I78" s="165"/>
      <c r="J78" s="165"/>
      <c r="K78" s="166" t="n">
        <v>2290.6</v>
      </c>
      <c r="L78" s="166" t="n">
        <f aca="false">M78+N78</f>
        <v>0</v>
      </c>
      <c r="M78" s="166"/>
      <c r="N78" s="167"/>
      <c r="O78" s="168"/>
      <c r="P78" s="166"/>
      <c r="Q78" s="166" t="n">
        <f aca="false">R78+S78</f>
        <v>0</v>
      </c>
      <c r="R78" s="166"/>
      <c r="S78" s="167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68</v>
      </c>
      <c r="C79" s="19" t="s">
        <v>20</v>
      </c>
      <c r="D79" s="19"/>
      <c r="E79" s="19" t="s">
        <v>69</v>
      </c>
      <c r="F79" s="22"/>
      <c r="G79" s="146" t="s">
        <v>22</v>
      </c>
      <c r="H79" s="147" t="n">
        <v>3</v>
      </c>
      <c r="I79" s="148"/>
      <c r="J79" s="148"/>
      <c r="K79" s="149"/>
      <c r="L79" s="149" t="n">
        <f aca="false">M79+N79</f>
        <v>0</v>
      </c>
      <c r="M79" s="149"/>
      <c r="N79" s="150"/>
      <c r="O79" s="151" t="n">
        <v>9</v>
      </c>
      <c r="P79" s="149" t="n">
        <v>16202.52</v>
      </c>
      <c r="Q79" s="149" t="n">
        <f aca="false">R79+S79</f>
        <v>3419.21</v>
      </c>
      <c r="R79" s="149" t="n">
        <v>3419.21</v>
      </c>
      <c r="S79" s="15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26" t="s">
        <v>176</v>
      </c>
      <c r="G80" s="152" t="s">
        <v>26</v>
      </c>
      <c r="H80" s="153" t="n">
        <v>2</v>
      </c>
      <c r="I80" s="154"/>
      <c r="J80" s="154"/>
      <c r="K80" s="179"/>
      <c r="L80" s="155" t="n">
        <f aca="false">M80+N80</f>
        <v>0</v>
      </c>
      <c r="M80" s="155"/>
      <c r="N80" s="156"/>
      <c r="O80" s="157"/>
      <c r="P80" s="155" t="n">
        <v>5462.2</v>
      </c>
      <c r="Q80" s="155" t="n">
        <f aca="false">R80+S80</f>
        <v>0</v>
      </c>
      <c r="R80" s="155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54"/>
      <c r="B81" s="55" t="s">
        <v>70</v>
      </c>
      <c r="C81" s="56" t="s">
        <v>20</v>
      </c>
      <c r="D81" s="56" t="s">
        <v>71</v>
      </c>
      <c r="E81" s="56" t="s">
        <v>25</v>
      </c>
      <c r="F81" s="36"/>
      <c r="G81" s="158" t="s">
        <v>22</v>
      </c>
      <c r="H81" s="169"/>
      <c r="I81" s="160"/>
      <c r="J81" s="160"/>
      <c r="K81" s="161"/>
      <c r="L81" s="161" t="n">
        <f aca="false">M81+N81</f>
        <v>0</v>
      </c>
      <c r="M81" s="161"/>
      <c r="N81" s="162"/>
      <c r="O81" s="163" t="n">
        <v>1</v>
      </c>
      <c r="P81" s="161" t="n">
        <v>15923.11</v>
      </c>
      <c r="Q81" s="161" t="n">
        <f aca="false">R81+S81</f>
        <v>0</v>
      </c>
      <c r="R81" s="161"/>
      <c r="S81" s="16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54"/>
      <c r="B82" s="55"/>
      <c r="C82" s="55"/>
      <c r="D82" s="55"/>
      <c r="E82" s="55"/>
      <c r="F82" s="26" t="s">
        <v>177</v>
      </c>
      <c r="G82" s="152" t="s">
        <v>26</v>
      </c>
      <c r="H82" s="153" t="n">
        <v>3</v>
      </c>
      <c r="I82" s="154"/>
      <c r="J82" s="154"/>
      <c r="K82" s="155"/>
      <c r="L82" s="155" t="n">
        <f aca="false">M82+N82</f>
        <v>0</v>
      </c>
      <c r="M82" s="155"/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33"/>
      <c r="B83" s="34" t="s">
        <v>72</v>
      </c>
      <c r="C83" s="35" t="s">
        <v>20</v>
      </c>
      <c r="D83" s="35"/>
      <c r="E83" s="35" t="s">
        <v>52</v>
      </c>
      <c r="F83" s="36"/>
      <c r="G83" s="146" t="s">
        <v>22</v>
      </c>
      <c r="H83" s="159" t="n">
        <v>1</v>
      </c>
      <c r="I83" s="160"/>
      <c r="J83" s="160"/>
      <c r="K83" s="161"/>
      <c r="L83" s="161" t="n">
        <f aca="false">M83+N83</f>
        <v>0</v>
      </c>
      <c r="M83" s="161"/>
      <c r="N83" s="162"/>
      <c r="O83" s="163"/>
      <c r="P83" s="161"/>
      <c r="Q83" s="161" t="n">
        <f aca="false">R83+S83</f>
        <v>0</v>
      </c>
      <c r="R83" s="161"/>
      <c r="S83" s="16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34"/>
      <c r="E84" s="34"/>
      <c r="F84" s="42" t="s">
        <v>178</v>
      </c>
      <c r="G84" s="164" t="s">
        <v>26</v>
      </c>
      <c r="H84" s="171" t="n">
        <v>1</v>
      </c>
      <c r="I84" s="165"/>
      <c r="J84" s="165"/>
      <c r="K84" s="166"/>
      <c r="L84" s="166" t="n">
        <v>881</v>
      </c>
      <c r="M84" s="166" t="n">
        <v>881</v>
      </c>
      <c r="N84" s="167"/>
      <c r="O84" s="168" t="n">
        <v>3</v>
      </c>
      <c r="P84" s="166" t="n">
        <v>11108.48</v>
      </c>
      <c r="Q84" s="166" t="n">
        <f aca="false">R84+S84</f>
        <v>0</v>
      </c>
      <c r="R84" s="166"/>
      <c r="S84" s="167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73</v>
      </c>
      <c r="C85" s="19" t="s">
        <v>20</v>
      </c>
      <c r="D85" s="19"/>
      <c r="E85" s="19" t="s">
        <v>52</v>
      </c>
      <c r="F85" s="20"/>
      <c r="G85" s="146" t="s">
        <v>22</v>
      </c>
      <c r="H85" s="159" t="n">
        <v>3</v>
      </c>
      <c r="I85" s="148" t="n">
        <v>1</v>
      </c>
      <c r="J85" s="148" t="n">
        <v>1</v>
      </c>
      <c r="K85" s="149" t="n">
        <v>1395.5</v>
      </c>
      <c r="L85" s="149" t="n">
        <f aca="false">M85+N85</f>
        <v>1395.5</v>
      </c>
      <c r="M85" s="149" t="n">
        <v>1395.5</v>
      </c>
      <c r="N85" s="150"/>
      <c r="O85" s="151" t="n">
        <v>1</v>
      </c>
      <c r="P85" s="149" t="n">
        <v>916.24</v>
      </c>
      <c r="Q85" s="149" t="n">
        <f aca="false">R85+S85</f>
        <v>3239.04</v>
      </c>
      <c r="R85" s="149" t="n">
        <v>3239.04</v>
      </c>
      <c r="S85" s="15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179</v>
      </c>
      <c r="G86" s="152" t="s">
        <v>26</v>
      </c>
      <c r="H86" s="153" t="n">
        <v>3</v>
      </c>
      <c r="I86" s="154" t="n">
        <v>3</v>
      </c>
      <c r="J86" s="154" t="n">
        <v>3</v>
      </c>
      <c r="K86" s="155" t="n">
        <v>8454.6</v>
      </c>
      <c r="L86" s="155" t="n">
        <f aca="false">M86+N86</f>
        <v>0</v>
      </c>
      <c r="M86" s="155"/>
      <c r="N86" s="156"/>
      <c r="O86" s="157" t="n">
        <v>1</v>
      </c>
      <c r="P86" s="155"/>
      <c r="Q86" s="155" t="n">
        <f aca="false">R86+S86</f>
        <v>0</v>
      </c>
      <c r="R86" s="155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33"/>
      <c r="B87" s="34" t="s">
        <v>74</v>
      </c>
      <c r="C87" s="35" t="s">
        <v>33</v>
      </c>
      <c r="D87" s="35" t="s">
        <v>75</v>
      </c>
      <c r="E87" s="35" t="s">
        <v>25</v>
      </c>
      <c r="F87" s="36"/>
      <c r="G87" s="146" t="s">
        <v>22</v>
      </c>
      <c r="H87" s="159" t="n">
        <v>14</v>
      </c>
      <c r="I87" s="160" t="n">
        <v>8</v>
      </c>
      <c r="J87" s="160" t="n">
        <v>8</v>
      </c>
      <c r="K87" s="161" t="n">
        <v>11090.12</v>
      </c>
      <c r="L87" s="161" t="n">
        <f aca="false">M87+N87</f>
        <v>0</v>
      </c>
      <c r="M87" s="161"/>
      <c r="N87" s="162"/>
      <c r="O87" s="163" t="n">
        <v>15</v>
      </c>
      <c r="P87" s="161" t="n">
        <v>35166.74</v>
      </c>
      <c r="Q87" s="161" t="n">
        <f aca="false">R87+S87</f>
        <v>0</v>
      </c>
      <c r="R87" s="161"/>
      <c r="S87" s="16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33"/>
      <c r="B88" s="34"/>
      <c r="C88" s="34"/>
      <c r="D88" s="34"/>
      <c r="E88" s="34"/>
      <c r="F88" s="4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67"/>
      <c r="O88" s="168" t="n">
        <v>4</v>
      </c>
      <c r="P88" s="166" t="n">
        <v>15858</v>
      </c>
      <c r="Q88" s="166" t="n">
        <f aca="false">R88+S88</f>
        <v>0</v>
      </c>
      <c r="R88" s="166"/>
      <c r="S88" s="167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72"/>
      <c r="B89" s="73" t="s">
        <v>76</v>
      </c>
      <c r="C89" s="74" t="s">
        <v>20</v>
      </c>
      <c r="D89" s="74" t="s">
        <v>180</v>
      </c>
      <c r="E89" s="74" t="s">
        <v>25</v>
      </c>
      <c r="F89" s="20"/>
      <c r="G89" s="146" t="s">
        <v>22</v>
      </c>
      <c r="H89" s="159" t="n">
        <v>7</v>
      </c>
      <c r="I89" s="148" t="n">
        <v>7</v>
      </c>
      <c r="J89" s="148" t="n">
        <v>7</v>
      </c>
      <c r="K89" s="149" t="n">
        <v>4413.25</v>
      </c>
      <c r="L89" s="149" t="n">
        <f aca="false">M89+N89</f>
        <v>0</v>
      </c>
      <c r="M89" s="149"/>
      <c r="N89" s="150"/>
      <c r="O89" s="151" t="n">
        <v>2</v>
      </c>
      <c r="P89" s="149" t="n">
        <v>12380.09</v>
      </c>
      <c r="Q89" s="149" t="n">
        <f aca="false">R89+S89</f>
        <v>0</v>
      </c>
      <c r="R89" s="149"/>
      <c r="S89" s="15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72"/>
      <c r="B90" s="73"/>
      <c r="C90" s="73"/>
      <c r="D90" s="73"/>
      <c r="E90" s="73"/>
      <c r="F90" s="42" t="s">
        <v>181</v>
      </c>
      <c r="G90" s="164" t="s">
        <v>26</v>
      </c>
      <c r="H90" s="171" t="n">
        <v>3</v>
      </c>
      <c r="I90" s="165"/>
      <c r="J90" s="165"/>
      <c r="K90" s="166"/>
      <c r="L90" s="166" t="n">
        <f aca="false">M90+N90</f>
        <v>0</v>
      </c>
      <c r="M90" s="166"/>
      <c r="N90" s="167"/>
      <c r="O90" s="168" t="n">
        <v>6</v>
      </c>
      <c r="P90" s="166" t="n">
        <v>8457.6</v>
      </c>
      <c r="Q90" s="166" t="n">
        <f aca="false">R90+S90</f>
        <v>0</v>
      </c>
      <c r="R90" s="166"/>
      <c r="S90" s="167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77</v>
      </c>
      <c r="C91" s="19" t="s">
        <v>38</v>
      </c>
      <c r="D91" s="19" t="s">
        <v>78</v>
      </c>
      <c r="E91" s="19" t="s">
        <v>25</v>
      </c>
      <c r="F91" s="22"/>
      <c r="G91" s="146" t="s">
        <v>22</v>
      </c>
      <c r="H91" s="169" t="n">
        <v>5</v>
      </c>
      <c r="I91" s="148" t="n">
        <v>5</v>
      </c>
      <c r="J91" s="148" t="n">
        <v>5</v>
      </c>
      <c r="K91" s="149" t="n">
        <v>2293.24</v>
      </c>
      <c r="L91" s="149" t="n">
        <f aca="false">M91+N91</f>
        <v>0</v>
      </c>
      <c r="M91" s="149"/>
      <c r="N91" s="150"/>
      <c r="O91" s="151" t="n">
        <v>1</v>
      </c>
      <c r="P91" s="149" t="n">
        <v>1409.6</v>
      </c>
      <c r="Q91" s="149" t="n">
        <f aca="false">R91+S91</f>
        <v>0</v>
      </c>
      <c r="R91" s="149"/>
      <c r="S91" s="15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80" t="s">
        <v>182</v>
      </c>
      <c r="G92" s="180" t="s">
        <v>26</v>
      </c>
      <c r="H92" s="159" t="n">
        <v>2</v>
      </c>
      <c r="I92" s="181" t="n">
        <v>1</v>
      </c>
      <c r="J92" s="181" t="n">
        <v>1</v>
      </c>
      <c r="K92" s="182" t="n">
        <v>4581.2</v>
      </c>
      <c r="L92" s="182" t="n">
        <f aca="false">M92+N92</f>
        <v>0</v>
      </c>
      <c r="M92" s="182"/>
      <c r="N92" s="183"/>
      <c r="O92" s="184" t="n">
        <v>6</v>
      </c>
      <c r="P92" s="182" t="n">
        <v>19029.6</v>
      </c>
      <c r="Q92" s="182" t="n">
        <f aca="false">R92+S92</f>
        <v>0</v>
      </c>
      <c r="R92" s="182"/>
      <c r="S92" s="183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false" outlineLevel="0" collapsed="false">
      <c r="A93" s="17"/>
      <c r="B93" s="18"/>
      <c r="C93" s="18"/>
      <c r="D93" s="18"/>
      <c r="E93" s="18"/>
      <c r="F93" s="85" t="s">
        <v>237</v>
      </c>
      <c r="G93" s="185" t="s">
        <v>23</v>
      </c>
      <c r="H93" s="186" t="n">
        <v>1</v>
      </c>
      <c r="I93" s="154"/>
      <c r="J93" s="154"/>
      <c r="K93" s="155"/>
      <c r="L93" s="155" t="n">
        <f aca="false">M93+N93</f>
        <v>0</v>
      </c>
      <c r="M93" s="155"/>
      <c r="N93" s="156"/>
      <c r="O93" s="157" t="n">
        <v>4</v>
      </c>
      <c r="P93" s="155" t="n">
        <v>8281.4</v>
      </c>
      <c r="Q93" s="155" t="n">
        <v>1938.2</v>
      </c>
      <c r="R93" s="155" t="n">
        <v>1938.2</v>
      </c>
      <c r="S93" s="156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" hidden="false" customHeight="true" outlineLevel="0" collapsed="false">
      <c r="A94" s="33"/>
      <c r="B94" s="34" t="s">
        <v>79</v>
      </c>
      <c r="C94" s="35" t="s">
        <v>20</v>
      </c>
      <c r="D94" s="35"/>
      <c r="E94" s="35" t="s">
        <v>52</v>
      </c>
      <c r="F94" s="38"/>
      <c r="G94" s="146" t="s">
        <v>22</v>
      </c>
      <c r="H94" s="159" t="n">
        <v>3</v>
      </c>
      <c r="I94" s="160" t="n">
        <v>2</v>
      </c>
      <c r="J94" s="160" t="n">
        <v>3</v>
      </c>
      <c r="K94" s="161" t="n">
        <v>5452.69</v>
      </c>
      <c r="L94" s="161" t="n">
        <f aca="false">M94+N94</f>
        <v>0</v>
      </c>
      <c r="M94" s="161"/>
      <c r="N94" s="162"/>
      <c r="O94" s="163" t="n">
        <v>2</v>
      </c>
      <c r="P94" s="161" t="n">
        <v>3686.01</v>
      </c>
      <c r="Q94" s="161" t="n">
        <f aca="false">R94+S94</f>
        <v>0</v>
      </c>
      <c r="R94" s="161"/>
      <c r="S94" s="16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33"/>
      <c r="B95" s="34"/>
      <c r="C95" s="34"/>
      <c r="D95" s="34"/>
      <c r="E95" s="34"/>
      <c r="F95" s="42"/>
      <c r="G95" s="164" t="s">
        <v>26</v>
      </c>
      <c r="H95" s="153"/>
      <c r="I95" s="165"/>
      <c r="J95" s="165"/>
      <c r="K95" s="166"/>
      <c r="L95" s="166" t="n">
        <f aca="false">M95+N95</f>
        <v>0</v>
      </c>
      <c r="M95" s="166"/>
      <c r="N95" s="167"/>
      <c r="O95" s="168"/>
      <c r="P95" s="166"/>
      <c r="Q95" s="166" t="n">
        <f aca="false">R95+S95</f>
        <v>0</v>
      </c>
      <c r="R95" s="166"/>
      <c r="S95" s="167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" hidden="false" customHeight="true" outlineLevel="0" collapsed="false">
      <c r="A96" s="72"/>
      <c r="B96" s="73" t="s">
        <v>80</v>
      </c>
      <c r="C96" s="74" t="s">
        <v>20</v>
      </c>
      <c r="D96" s="74"/>
      <c r="E96" s="74" t="s">
        <v>81</v>
      </c>
      <c r="F96" s="20"/>
      <c r="G96" s="146" t="s">
        <v>22</v>
      </c>
      <c r="H96" s="159" t="n">
        <v>2</v>
      </c>
      <c r="I96" s="148" t="n">
        <v>1</v>
      </c>
      <c r="J96" s="148" t="n">
        <v>1</v>
      </c>
      <c r="K96" s="149" t="n">
        <v>3473.61</v>
      </c>
      <c r="L96" s="149" t="n">
        <f aca="false">M96+N96</f>
        <v>3473.61</v>
      </c>
      <c r="M96" s="149" t="n">
        <v>3473.61</v>
      </c>
      <c r="N96" s="150"/>
      <c r="O96" s="151"/>
      <c r="P96" s="149"/>
      <c r="Q96" s="149" t="n">
        <f aca="false">R96+S96</f>
        <v>0</v>
      </c>
      <c r="R96" s="149"/>
      <c r="S96" s="150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72"/>
      <c r="B97" s="73"/>
      <c r="C97" s="73"/>
      <c r="D97" s="73"/>
      <c r="E97" s="73"/>
      <c r="F97" s="42" t="s">
        <v>183</v>
      </c>
      <c r="G97" s="164" t="s">
        <v>26</v>
      </c>
      <c r="H97" s="153"/>
      <c r="I97" s="165"/>
      <c r="J97" s="165"/>
      <c r="K97" s="166"/>
      <c r="L97" s="166" t="n">
        <f aca="false">M97+N97</f>
        <v>0</v>
      </c>
      <c r="M97" s="166"/>
      <c r="N97" s="167"/>
      <c r="O97" s="168"/>
      <c r="P97" s="166"/>
      <c r="Q97" s="166" t="n">
        <f aca="false">R97+S97</f>
        <v>0</v>
      </c>
      <c r="R97" s="166"/>
      <c r="S97" s="167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" hidden="false" customHeight="true" outlineLevel="0" collapsed="false">
      <c r="A98" s="17"/>
      <c r="B98" s="18" t="s">
        <v>82</v>
      </c>
      <c r="C98" s="19" t="s">
        <v>20</v>
      </c>
      <c r="D98" s="19" t="s">
        <v>184</v>
      </c>
      <c r="E98" s="19" t="s">
        <v>25</v>
      </c>
      <c r="F98" s="22"/>
      <c r="G98" s="146" t="s">
        <v>22</v>
      </c>
      <c r="H98" s="159" t="n">
        <v>15</v>
      </c>
      <c r="I98" s="148" t="n">
        <v>9</v>
      </c>
      <c r="J98" s="148" t="n">
        <v>9</v>
      </c>
      <c r="K98" s="149" t="n">
        <v>5526.53</v>
      </c>
      <c r="L98" s="149" t="n">
        <f aca="false">M98+N98</f>
        <v>0</v>
      </c>
      <c r="M98" s="149"/>
      <c r="N98" s="150"/>
      <c r="O98" s="151" t="n">
        <v>2</v>
      </c>
      <c r="P98" s="149" t="n">
        <v>8372.97</v>
      </c>
      <c r="Q98" s="149" t="n">
        <f aca="false">R98+S98</f>
        <v>0</v>
      </c>
      <c r="R98" s="149"/>
      <c r="S98" s="150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17"/>
      <c r="B99" s="18"/>
      <c r="C99" s="18"/>
      <c r="D99" s="18"/>
      <c r="E99" s="18"/>
      <c r="F99" s="26" t="s">
        <v>185</v>
      </c>
      <c r="G99" s="152" t="s">
        <v>26</v>
      </c>
      <c r="H99" s="153" t="n">
        <v>2</v>
      </c>
      <c r="I99" s="154"/>
      <c r="J99" s="154"/>
      <c r="K99" s="155"/>
      <c r="L99" s="155" t="n">
        <f aca="false">M99+N99</f>
        <v>0</v>
      </c>
      <c r="M99" s="155"/>
      <c r="N99" s="156"/>
      <c r="O99" s="157" t="n">
        <v>1</v>
      </c>
      <c r="P99" s="155" t="n">
        <v>3171.6</v>
      </c>
      <c r="Q99" s="155" t="n">
        <f aca="false">R99+S99</f>
        <v>0</v>
      </c>
      <c r="R99" s="155"/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17"/>
      <c r="B100" s="18" t="s">
        <v>83</v>
      </c>
      <c r="C100" s="19" t="s">
        <v>20</v>
      </c>
      <c r="D100" s="19"/>
      <c r="E100" s="19" t="s">
        <v>25</v>
      </c>
      <c r="F100" s="20"/>
      <c r="G100" s="146" t="s">
        <v>22</v>
      </c>
      <c r="H100" s="159" t="n">
        <v>3</v>
      </c>
      <c r="I100" s="148" t="n">
        <v>2</v>
      </c>
      <c r="J100" s="148" t="n">
        <v>2</v>
      </c>
      <c r="K100" s="149" t="n">
        <v>1409.6</v>
      </c>
      <c r="L100" s="149" t="n">
        <f aca="false">M100+N100</f>
        <v>0</v>
      </c>
      <c r="M100" s="149"/>
      <c r="N100" s="150"/>
      <c r="O100" s="151" t="n">
        <v>2</v>
      </c>
      <c r="P100" s="149" t="n">
        <v>5828.06</v>
      </c>
      <c r="Q100" s="149" t="n">
        <f aca="false">R100+S100</f>
        <v>0</v>
      </c>
      <c r="R100" s="149"/>
      <c r="S100" s="15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17"/>
      <c r="B101" s="18"/>
      <c r="C101" s="18"/>
      <c r="D101" s="18"/>
      <c r="E101" s="18"/>
      <c r="F101" s="26" t="s">
        <v>186</v>
      </c>
      <c r="G101" s="152" t="s">
        <v>26</v>
      </c>
      <c r="H101" s="153" t="n">
        <v>3</v>
      </c>
      <c r="I101" s="154"/>
      <c r="J101" s="154"/>
      <c r="K101" s="155"/>
      <c r="L101" s="155" t="n">
        <f aca="false">M101+N101</f>
        <v>0</v>
      </c>
      <c r="M101" s="155"/>
      <c r="N101" s="156"/>
      <c r="O101" s="157" t="n">
        <v>1</v>
      </c>
      <c r="P101" s="155" t="n">
        <v>10219.6</v>
      </c>
      <c r="Q101" s="155" t="n">
        <f aca="false">R101+S101</f>
        <v>0</v>
      </c>
      <c r="R101" s="155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33"/>
      <c r="B102" s="34" t="s">
        <v>84</v>
      </c>
      <c r="C102" s="35" t="s">
        <v>20</v>
      </c>
      <c r="D102" s="35"/>
      <c r="E102" s="35" t="s">
        <v>52</v>
      </c>
      <c r="F102" s="36"/>
      <c r="G102" s="146" t="s">
        <v>22</v>
      </c>
      <c r="H102" s="159" t="n">
        <v>13</v>
      </c>
      <c r="I102" s="160" t="n">
        <v>5</v>
      </c>
      <c r="J102" s="160" t="n">
        <v>5</v>
      </c>
      <c r="K102" s="161" t="n">
        <v>8072.6</v>
      </c>
      <c r="L102" s="161" t="n">
        <f aca="false">M102+N102</f>
        <v>0</v>
      </c>
      <c r="M102" s="161"/>
      <c r="N102" s="162"/>
      <c r="O102" s="163" t="n">
        <v>11</v>
      </c>
      <c r="P102" s="161" t="n">
        <v>14311.98</v>
      </c>
      <c r="Q102" s="161" t="n">
        <f aca="false">R102+S102</f>
        <v>0</v>
      </c>
      <c r="R102" s="161"/>
      <c r="S102" s="16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33"/>
      <c r="B103" s="34"/>
      <c r="C103" s="34"/>
      <c r="D103" s="34"/>
      <c r="E103" s="34"/>
      <c r="F103" s="71"/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67"/>
      <c r="O103" s="168"/>
      <c r="P103" s="166"/>
      <c r="Q103" s="166" t="n">
        <f aca="false">R103+S103</f>
        <v>0</v>
      </c>
      <c r="R103" s="166"/>
      <c r="S103" s="167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85</v>
      </c>
      <c r="C104" s="19" t="s">
        <v>20</v>
      </c>
      <c r="D104" s="19"/>
      <c r="E104" s="19" t="s">
        <v>25</v>
      </c>
      <c r="F104" s="87"/>
      <c r="G104" s="146" t="s">
        <v>22</v>
      </c>
      <c r="H104" s="169" t="n">
        <v>1</v>
      </c>
      <c r="I104" s="148"/>
      <c r="J104" s="148"/>
      <c r="K104" s="149"/>
      <c r="L104" s="149" t="n">
        <f aca="false">M104+N104</f>
        <v>0</v>
      </c>
      <c r="M104" s="149"/>
      <c r="N104" s="150"/>
      <c r="O104" s="151"/>
      <c r="P104" s="149"/>
      <c r="Q104" s="149" t="n">
        <f aca="false">R104+S104</f>
        <v>0</v>
      </c>
      <c r="R104" s="149"/>
      <c r="S104" s="15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88"/>
      <c r="G105" s="152" t="s">
        <v>26</v>
      </c>
      <c r="H105" s="153"/>
      <c r="I105" s="154"/>
      <c r="J105" s="154"/>
      <c r="K105" s="155"/>
      <c r="L105" s="155" t="n">
        <f aca="false">M105+N105</f>
        <v>0</v>
      </c>
      <c r="M105" s="155"/>
      <c r="N105" s="156"/>
      <c r="O105" s="157"/>
      <c r="P105" s="155"/>
      <c r="Q105" s="155" t="n">
        <f aca="false">R105+S105</f>
        <v>0</v>
      </c>
      <c r="R105" s="155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73" t="s">
        <v>86</v>
      </c>
      <c r="C106" s="74" t="s">
        <v>33</v>
      </c>
      <c r="D106" s="74" t="s">
        <v>87</v>
      </c>
      <c r="E106" s="74" t="s">
        <v>88</v>
      </c>
      <c r="F106" s="20"/>
      <c r="G106" s="146" t="s">
        <v>22</v>
      </c>
      <c r="H106" s="169" t="n">
        <v>13</v>
      </c>
      <c r="I106" s="148" t="n">
        <v>7</v>
      </c>
      <c r="J106" s="148" t="n">
        <v>7</v>
      </c>
      <c r="K106" s="149" t="n">
        <v>6747.33</v>
      </c>
      <c r="L106" s="149" t="n">
        <f aca="false">M106+N106</f>
        <v>6747.33</v>
      </c>
      <c r="M106" s="149" t="n">
        <v>6747.33</v>
      </c>
      <c r="N106" s="150"/>
      <c r="O106" s="151" t="n">
        <v>7</v>
      </c>
      <c r="P106" s="149" t="n">
        <v>6374.04</v>
      </c>
      <c r="Q106" s="149" t="n">
        <f aca="false">R106+S106</f>
        <v>8224.14</v>
      </c>
      <c r="R106" s="149" t="n">
        <v>8224.14</v>
      </c>
      <c r="S106" s="15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17"/>
      <c r="B107" s="73"/>
      <c r="C107" s="73"/>
      <c r="D107" s="73"/>
      <c r="E107" s="73"/>
      <c r="F107" s="42" t="s">
        <v>238</v>
      </c>
      <c r="G107" s="164" t="s">
        <v>23</v>
      </c>
      <c r="H107" s="171" t="n">
        <v>11</v>
      </c>
      <c r="I107" s="165" t="n">
        <v>1</v>
      </c>
      <c r="J107" s="165" t="n">
        <v>1</v>
      </c>
      <c r="K107" s="166" t="n">
        <v>1762</v>
      </c>
      <c r="L107" s="166" t="n">
        <f aca="false">M107+N107</f>
        <v>0</v>
      </c>
      <c r="M107" s="166"/>
      <c r="N107" s="167"/>
      <c r="O107" s="168" t="n">
        <v>7</v>
      </c>
      <c r="P107" s="166" t="n">
        <v>15065.1</v>
      </c>
      <c r="Q107" s="166" t="n">
        <v>4316.9</v>
      </c>
      <c r="R107" s="166" t="n">
        <v>4316.9</v>
      </c>
      <c r="S107" s="167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17"/>
      <c r="B108" s="18" t="s">
        <v>89</v>
      </c>
      <c r="C108" s="19" t="s">
        <v>20</v>
      </c>
      <c r="D108" s="19" t="s">
        <v>90</v>
      </c>
      <c r="E108" s="19" t="s">
        <v>42</v>
      </c>
      <c r="F108" s="20"/>
      <c r="G108" s="146" t="s">
        <v>22</v>
      </c>
      <c r="H108" s="159" t="n">
        <v>12</v>
      </c>
      <c r="I108" s="148" t="n">
        <v>2</v>
      </c>
      <c r="J108" s="148" t="n">
        <v>2</v>
      </c>
      <c r="K108" s="149" t="n">
        <v>8527.08</v>
      </c>
      <c r="L108" s="149" t="n">
        <f aca="false">M108+N108</f>
        <v>0</v>
      </c>
      <c r="M108" s="149"/>
      <c r="N108" s="150"/>
      <c r="O108" s="151" t="n">
        <v>9</v>
      </c>
      <c r="P108" s="149" t="n">
        <v>21418.85</v>
      </c>
      <c r="Q108" s="149" t="n">
        <f aca="false">R108+S108</f>
        <v>14024.79</v>
      </c>
      <c r="R108" s="149" t="n">
        <v>14024.79</v>
      </c>
      <c r="S108" s="15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26" t="s">
        <v>239</v>
      </c>
      <c r="G109" s="152" t="s">
        <v>23</v>
      </c>
      <c r="H109" s="153"/>
      <c r="I109" s="154"/>
      <c r="J109" s="154"/>
      <c r="K109" s="155"/>
      <c r="L109" s="155" t="n">
        <f aca="false">M109+N109</f>
        <v>0</v>
      </c>
      <c r="M109" s="155"/>
      <c r="N109" s="156"/>
      <c r="O109" s="157"/>
      <c r="P109" s="155"/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.75" hidden="false" customHeight="true" outlineLevel="0" collapsed="false">
      <c r="A110" s="33"/>
      <c r="B110" s="34" t="s">
        <v>91</v>
      </c>
      <c r="C110" s="35" t="s">
        <v>33</v>
      </c>
      <c r="D110" s="35" t="s">
        <v>92</v>
      </c>
      <c r="E110" s="35" t="s">
        <v>25</v>
      </c>
      <c r="F110" s="38" t="s">
        <v>239</v>
      </c>
      <c r="G110" s="146" t="s">
        <v>22</v>
      </c>
      <c r="H110" s="159" t="n">
        <v>13</v>
      </c>
      <c r="I110" s="160" t="n">
        <v>3</v>
      </c>
      <c r="J110" s="160" t="n">
        <v>3</v>
      </c>
      <c r="K110" s="161" t="n">
        <v>4915.98</v>
      </c>
      <c r="L110" s="161" t="n">
        <f aca="false">M110+N110</f>
        <v>0</v>
      </c>
      <c r="M110" s="161"/>
      <c r="N110" s="162"/>
      <c r="O110" s="163" t="n">
        <v>5</v>
      </c>
      <c r="P110" s="161" t="n">
        <v>26695.18</v>
      </c>
      <c r="Q110" s="161" t="n">
        <f aca="false">R110+S110</f>
        <v>2537.28</v>
      </c>
      <c r="R110" s="161" t="n">
        <v>2537.28</v>
      </c>
      <c r="S110" s="16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89"/>
      <c r="G111" s="187" t="s">
        <v>23</v>
      </c>
      <c r="H111" s="169"/>
      <c r="I111" s="188"/>
      <c r="J111" s="188"/>
      <c r="K111" s="189"/>
      <c r="L111" s="189" t="n">
        <f aca="false">M111+N111</f>
        <v>0</v>
      </c>
      <c r="M111" s="189"/>
      <c r="N111" s="190"/>
      <c r="O111" s="191"/>
      <c r="P111" s="189"/>
      <c r="Q111" s="189" t="n">
        <f aca="false">R111+S111</f>
        <v>0</v>
      </c>
      <c r="R111" s="189"/>
      <c r="S111" s="190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.75" hidden="false" customHeight="true" outlineLevel="0" collapsed="false">
      <c r="A112" s="33"/>
      <c r="B112" s="34"/>
      <c r="C112" s="34"/>
      <c r="D112" s="34"/>
      <c r="E112" s="34"/>
      <c r="F112" s="42" t="s">
        <v>187</v>
      </c>
      <c r="G112" s="164" t="s">
        <v>26</v>
      </c>
      <c r="H112" s="171" t="n">
        <v>5</v>
      </c>
      <c r="I112" s="165" t="n">
        <v>1</v>
      </c>
      <c r="J112" s="165" t="n">
        <v>1</v>
      </c>
      <c r="K112" s="166" t="n">
        <v>2290.6</v>
      </c>
      <c r="L112" s="166" t="n">
        <f aca="false">M112+N112</f>
        <v>0</v>
      </c>
      <c r="M112" s="166"/>
      <c r="N112" s="167"/>
      <c r="O112" s="168" t="n">
        <v>6</v>
      </c>
      <c r="P112" s="166" t="n">
        <v>29143.12</v>
      </c>
      <c r="Q112" s="166" t="n">
        <f aca="false">R112+S112</f>
        <v>0</v>
      </c>
      <c r="R112" s="166"/>
      <c r="S112" s="167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 t="s">
        <v>93</v>
      </c>
      <c r="C113" s="19" t="s">
        <v>20</v>
      </c>
      <c r="D113" s="49"/>
      <c r="E113" s="19" t="s">
        <v>50</v>
      </c>
      <c r="F113" s="87"/>
      <c r="G113" s="146" t="s">
        <v>22</v>
      </c>
      <c r="H113" s="169" t="n">
        <v>2</v>
      </c>
      <c r="I113" s="148"/>
      <c r="J113" s="148"/>
      <c r="K113" s="149"/>
      <c r="L113" s="149" t="n">
        <f aca="false">M113+N113</f>
        <v>0</v>
      </c>
      <c r="M113" s="149"/>
      <c r="N113" s="150"/>
      <c r="O113" s="151"/>
      <c r="P113" s="149"/>
      <c r="Q113" s="149" t="n">
        <f aca="false">R113+S113</f>
        <v>0</v>
      </c>
      <c r="R113" s="149"/>
      <c r="S113" s="150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18"/>
      <c r="C114" s="18"/>
      <c r="D114" s="18"/>
      <c r="E114" s="18"/>
      <c r="F114" s="88" t="s">
        <v>188</v>
      </c>
      <c r="G114" s="152" t="s">
        <v>26</v>
      </c>
      <c r="H114" s="171" t="n">
        <v>5</v>
      </c>
      <c r="I114" s="154"/>
      <c r="J114" s="154"/>
      <c r="K114" s="155"/>
      <c r="L114" s="155" t="n">
        <f aca="false">M114+N114</f>
        <v>0</v>
      </c>
      <c r="M114" s="155"/>
      <c r="N114" s="156"/>
      <c r="O114" s="157"/>
      <c r="P114" s="155"/>
      <c r="Q114" s="155" t="n">
        <f aca="false">R114+S114</f>
        <v>0</v>
      </c>
      <c r="R114" s="155"/>
      <c r="S114" s="156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true" outlineLevel="0" collapsed="false">
      <c r="A115" s="54"/>
      <c r="B115" s="55" t="s">
        <v>94</v>
      </c>
      <c r="C115" s="56" t="s">
        <v>20</v>
      </c>
      <c r="D115" s="56"/>
      <c r="E115" s="56" t="s">
        <v>52</v>
      </c>
      <c r="F115" s="36"/>
      <c r="G115" s="158" t="s">
        <v>22</v>
      </c>
      <c r="H115" s="159" t="n">
        <v>6</v>
      </c>
      <c r="I115" s="160" t="n">
        <v>3</v>
      </c>
      <c r="J115" s="160" t="n">
        <v>3</v>
      </c>
      <c r="K115" s="161" t="n">
        <v>2133.78</v>
      </c>
      <c r="L115" s="161" t="n">
        <f aca="false">M115+N115</f>
        <v>563.84</v>
      </c>
      <c r="M115" s="161" t="n">
        <v>563.84</v>
      </c>
      <c r="N115" s="162"/>
      <c r="O115" s="163" t="n">
        <v>3</v>
      </c>
      <c r="P115" s="161" t="n">
        <v>4367.39</v>
      </c>
      <c r="Q115" s="161" t="n">
        <f aca="false">R115+S115</f>
        <v>3894.06</v>
      </c>
      <c r="R115" s="161" t="n">
        <v>3894.06</v>
      </c>
      <c r="S115" s="16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.75" hidden="false" customHeight="true" outlineLevel="0" collapsed="false">
      <c r="A116" s="54"/>
      <c r="B116" s="55"/>
      <c r="C116" s="55"/>
      <c r="D116" s="55"/>
      <c r="E116" s="55"/>
      <c r="F116" s="42" t="s">
        <v>189</v>
      </c>
      <c r="G116" s="164" t="s">
        <v>26</v>
      </c>
      <c r="H116" s="171" t="n">
        <v>7</v>
      </c>
      <c r="I116" s="154" t="n">
        <v>1</v>
      </c>
      <c r="J116" s="154" t="n">
        <v>1</v>
      </c>
      <c r="K116" s="155" t="n">
        <v>2446.8</v>
      </c>
      <c r="L116" s="155" t="n">
        <f aca="false">M116+N116</f>
        <v>0</v>
      </c>
      <c r="M116" s="155"/>
      <c r="N116" s="156"/>
      <c r="O116" s="157" t="n">
        <v>2</v>
      </c>
      <c r="P116" s="155" t="n">
        <v>6871.8</v>
      </c>
      <c r="Q116" s="155" t="n">
        <f aca="false">R116+S116</f>
        <v>0</v>
      </c>
      <c r="R116" s="155"/>
      <c r="S116" s="156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33"/>
      <c r="B117" s="34" t="s">
        <v>95</v>
      </c>
      <c r="C117" s="35" t="s">
        <v>33</v>
      </c>
      <c r="D117" s="35" t="s">
        <v>96</v>
      </c>
      <c r="E117" s="35" t="s">
        <v>88</v>
      </c>
      <c r="F117" s="22"/>
      <c r="G117" s="146" t="s">
        <v>22</v>
      </c>
      <c r="H117" s="159" t="n">
        <v>14</v>
      </c>
      <c r="I117" s="160" t="n">
        <v>8</v>
      </c>
      <c r="J117" s="192" t="n">
        <v>8</v>
      </c>
      <c r="K117" s="161" t="n">
        <v>11316.44</v>
      </c>
      <c r="L117" s="161" t="n">
        <f aca="false">M117+N117</f>
        <v>4875.45</v>
      </c>
      <c r="M117" s="161" t="n">
        <v>4875.45</v>
      </c>
      <c r="N117" s="162"/>
      <c r="O117" s="163"/>
      <c r="P117" s="161"/>
      <c r="Q117" s="161" t="n">
        <f aca="false">R117+S117</f>
        <v>0</v>
      </c>
      <c r="R117" s="161"/>
      <c r="S117" s="16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/>
      <c r="C118" s="34"/>
      <c r="D118" s="34"/>
      <c r="E118" s="34"/>
      <c r="F118" s="42" t="s">
        <v>240</v>
      </c>
      <c r="G118" s="164" t="s">
        <v>23</v>
      </c>
      <c r="H118" s="171" t="n">
        <v>5</v>
      </c>
      <c r="I118" s="165"/>
      <c r="J118" s="165"/>
      <c r="K118" s="166"/>
      <c r="L118" s="166" t="n">
        <f aca="false">M118+N118</f>
        <v>0</v>
      </c>
      <c r="M118" s="166"/>
      <c r="N118" s="167"/>
      <c r="O118" s="168" t="n">
        <v>1</v>
      </c>
      <c r="P118" s="166" t="n">
        <v>6167</v>
      </c>
      <c r="Q118" s="166" t="n">
        <f aca="false">R118+S118</f>
        <v>0</v>
      </c>
      <c r="R118" s="166"/>
      <c r="S118" s="167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72"/>
      <c r="B119" s="73" t="s">
        <v>97</v>
      </c>
      <c r="C119" s="74" t="s">
        <v>20</v>
      </c>
      <c r="D119" s="74"/>
      <c r="E119" s="74" t="s">
        <v>98</v>
      </c>
      <c r="F119" s="20"/>
      <c r="G119" s="146" t="s">
        <v>22</v>
      </c>
      <c r="H119" s="159" t="n">
        <v>3</v>
      </c>
      <c r="I119" s="148" t="n">
        <v>2</v>
      </c>
      <c r="J119" s="148" t="n">
        <v>2</v>
      </c>
      <c r="K119" s="149" t="n">
        <v>2223.64</v>
      </c>
      <c r="L119" s="149" t="n">
        <f aca="false">M119+N119</f>
        <v>0</v>
      </c>
      <c r="M119" s="149"/>
      <c r="N119" s="150"/>
      <c r="O119" s="151" t="n">
        <v>3</v>
      </c>
      <c r="P119" s="149" t="n">
        <f aca="false">928.01+1385.99+3700.79</f>
        <v>6014.79</v>
      </c>
      <c r="Q119" s="149" t="n">
        <f aca="false">R119+S119</f>
        <v>0</v>
      </c>
      <c r="R119" s="149"/>
      <c r="S119" s="150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72"/>
      <c r="B120" s="73"/>
      <c r="C120" s="73"/>
      <c r="D120" s="73"/>
      <c r="E120" s="73"/>
      <c r="F120" s="42" t="s">
        <v>241</v>
      </c>
      <c r="G120" s="164" t="s">
        <v>23</v>
      </c>
      <c r="H120" s="172" t="n">
        <v>6</v>
      </c>
      <c r="I120" s="165" t="n">
        <v>3</v>
      </c>
      <c r="J120" s="165" t="n">
        <v>3</v>
      </c>
      <c r="K120" s="166" t="n">
        <v>704.8</v>
      </c>
      <c r="L120" s="166" t="n">
        <f aca="false">M120+N120</f>
        <v>0</v>
      </c>
      <c r="M120" s="166"/>
      <c r="N120" s="167"/>
      <c r="O120" s="168" t="n">
        <v>8</v>
      </c>
      <c r="P120" s="166" t="n">
        <v>16210.4</v>
      </c>
      <c r="Q120" s="166" t="n">
        <v>1233.4</v>
      </c>
      <c r="R120" s="166" t="n">
        <v>1233.4</v>
      </c>
      <c r="S120" s="167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156</v>
      </c>
      <c r="C121" s="19"/>
      <c r="D121" s="19"/>
      <c r="E121" s="19"/>
      <c r="F121" s="20"/>
      <c r="G121" s="146" t="s">
        <v>22</v>
      </c>
      <c r="H121" s="173" t="n">
        <v>3</v>
      </c>
      <c r="I121" s="148" t="n">
        <v>1</v>
      </c>
      <c r="J121" s="148" t="n">
        <v>1</v>
      </c>
      <c r="K121" s="149" t="n">
        <v>6364.34</v>
      </c>
      <c r="L121" s="149" t="n">
        <f aca="false">M121+N121</f>
        <v>6364.34</v>
      </c>
      <c r="M121" s="149" t="n">
        <v>6364.34</v>
      </c>
      <c r="N121" s="150"/>
      <c r="O121" s="151"/>
      <c r="P121" s="149"/>
      <c r="Q121" s="149" t="n">
        <f aca="false">R121+S121</f>
        <v>0</v>
      </c>
      <c r="R121" s="149"/>
      <c r="S121" s="15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97"/>
      <c r="G122" s="187" t="s">
        <v>26</v>
      </c>
      <c r="H122" s="172" t="n">
        <v>1</v>
      </c>
      <c r="I122" s="188"/>
      <c r="J122" s="188"/>
      <c r="K122" s="189"/>
      <c r="L122" s="189" t="n">
        <f aca="false">M122+N122</f>
        <v>0</v>
      </c>
      <c r="M122" s="189"/>
      <c r="N122" s="190"/>
      <c r="O122" s="191"/>
      <c r="P122" s="189"/>
      <c r="Q122" s="189" t="n">
        <f aca="false">R122+S122</f>
        <v>0</v>
      </c>
      <c r="R122" s="189"/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71"/>
      <c r="G123" s="164" t="s">
        <v>23</v>
      </c>
      <c r="H123" s="177"/>
      <c r="I123" s="165"/>
      <c r="J123" s="165"/>
      <c r="K123" s="166"/>
      <c r="L123" s="166" t="n">
        <f aca="false">M123+N123</f>
        <v>0</v>
      </c>
      <c r="M123" s="166"/>
      <c r="N123" s="167"/>
      <c r="O123" s="168"/>
      <c r="P123" s="166"/>
      <c r="Q123" s="166" t="n">
        <f aca="false">R123+S123</f>
        <v>0</v>
      </c>
      <c r="R123" s="166"/>
      <c r="S123" s="167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17"/>
      <c r="B124" s="18" t="s">
        <v>190</v>
      </c>
      <c r="C124" s="19"/>
      <c r="D124" s="19"/>
      <c r="E124" s="19"/>
      <c r="F124" s="20"/>
      <c r="G124" s="146" t="s">
        <v>22</v>
      </c>
      <c r="H124" s="173" t="n">
        <v>4</v>
      </c>
      <c r="I124" s="148"/>
      <c r="J124" s="148"/>
      <c r="K124" s="149"/>
      <c r="L124" s="149" t="n">
        <f aca="false">M124+N124</f>
        <v>0</v>
      </c>
      <c r="M124" s="149"/>
      <c r="N124" s="150"/>
      <c r="O124" s="151"/>
      <c r="P124" s="149"/>
      <c r="Q124" s="149" t="n">
        <f aca="false">R124+S124</f>
        <v>0</v>
      </c>
      <c r="R124" s="149"/>
      <c r="S124" s="15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242</v>
      </c>
      <c r="G125" s="152" t="s">
        <v>23</v>
      </c>
      <c r="H125" s="174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54"/>
      <c r="B126" s="55" t="s">
        <v>99</v>
      </c>
      <c r="C126" s="56" t="s">
        <v>33</v>
      </c>
      <c r="D126" s="56" t="s">
        <v>100</v>
      </c>
      <c r="E126" s="56" t="s">
        <v>101</v>
      </c>
      <c r="F126" s="36"/>
      <c r="G126" s="158" t="s">
        <v>22</v>
      </c>
      <c r="H126" s="159" t="n">
        <v>15</v>
      </c>
      <c r="I126" s="160" t="n">
        <v>13</v>
      </c>
      <c r="J126" s="160" t="n">
        <v>13</v>
      </c>
      <c r="K126" s="161" t="n">
        <v>3832.35</v>
      </c>
      <c r="L126" s="161" t="n">
        <f aca="false">M126+N126</f>
        <v>396.45</v>
      </c>
      <c r="M126" s="161" t="n">
        <v>396.45</v>
      </c>
      <c r="N126" s="162"/>
      <c r="O126" s="163" t="n">
        <v>4</v>
      </c>
      <c r="P126" s="161" t="n">
        <v>14099.53</v>
      </c>
      <c r="Q126" s="161" t="n">
        <f aca="false">R126+S126</f>
        <v>13683.26</v>
      </c>
      <c r="R126" s="161" t="n">
        <v>13683.26</v>
      </c>
      <c r="S126" s="16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54"/>
      <c r="B127" s="55"/>
      <c r="C127" s="55"/>
      <c r="D127" s="55"/>
      <c r="E127" s="55"/>
      <c r="F127" s="80" t="s">
        <v>191</v>
      </c>
      <c r="G127" s="180" t="s">
        <v>26</v>
      </c>
      <c r="H127" s="169" t="n">
        <v>5</v>
      </c>
      <c r="I127" s="181" t="n">
        <v>2</v>
      </c>
      <c r="J127" s="181" t="n">
        <v>2</v>
      </c>
      <c r="K127" s="182" t="n">
        <v>1233.4</v>
      </c>
      <c r="L127" s="182" t="n">
        <f aca="false">M127+N127</f>
        <v>0</v>
      </c>
      <c r="M127" s="182"/>
      <c r="N127" s="183"/>
      <c r="O127" s="184" t="n">
        <v>2</v>
      </c>
      <c r="P127" s="182" t="n">
        <v>5374.1</v>
      </c>
      <c r="Q127" s="182" t="n">
        <f aca="false">R127+S127</f>
        <v>0</v>
      </c>
      <c r="R127" s="182"/>
      <c r="S127" s="183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54"/>
      <c r="B128" s="55"/>
      <c r="C128" s="55"/>
      <c r="D128" s="55"/>
      <c r="E128" s="55"/>
      <c r="F128" s="42"/>
      <c r="G128" s="164" t="s">
        <v>23</v>
      </c>
      <c r="H128" s="175"/>
      <c r="I128" s="165"/>
      <c r="J128" s="165"/>
      <c r="K128" s="166"/>
      <c r="L128" s="166" t="n">
        <f aca="false">M128+N128</f>
        <v>0</v>
      </c>
      <c r="M128" s="166"/>
      <c r="N128" s="167"/>
      <c r="O128" s="168"/>
      <c r="P128" s="166"/>
      <c r="Q128" s="166" t="n">
        <f aca="false">R128+S128</f>
        <v>0</v>
      </c>
      <c r="R128" s="166"/>
      <c r="S128" s="167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224</v>
      </c>
      <c r="C129" s="19"/>
      <c r="D129" s="19"/>
      <c r="E129" s="19"/>
      <c r="F129" s="20"/>
      <c r="G129" s="146" t="s">
        <v>22</v>
      </c>
      <c r="H129" s="147" t="n">
        <v>1</v>
      </c>
      <c r="I129" s="148"/>
      <c r="J129" s="148"/>
      <c r="K129" s="149"/>
      <c r="L129" s="149" t="n">
        <f aca="false">M129+N129</f>
        <v>0</v>
      </c>
      <c r="M129" s="149"/>
      <c r="N129" s="150"/>
      <c r="O129" s="151"/>
      <c r="P129" s="149"/>
      <c r="Q129" s="149" t="n">
        <f aca="false">R129+S129</f>
        <v>0</v>
      </c>
      <c r="R129" s="149"/>
      <c r="S129" s="15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57"/>
      <c r="G130" s="152" t="s">
        <v>26</v>
      </c>
      <c r="H130" s="176" t="n">
        <v>2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33"/>
      <c r="B131" s="34" t="s">
        <v>102</v>
      </c>
      <c r="C131" s="35" t="s">
        <v>20</v>
      </c>
      <c r="D131" s="35"/>
      <c r="E131" s="35" t="s">
        <v>25</v>
      </c>
      <c r="F131" s="36"/>
      <c r="G131" s="158" t="s">
        <v>22</v>
      </c>
      <c r="H131" s="169" t="n">
        <v>8</v>
      </c>
      <c r="I131" s="160" t="n">
        <v>2</v>
      </c>
      <c r="J131" s="160" t="n">
        <v>2</v>
      </c>
      <c r="K131" s="161" t="n">
        <v>1057.2</v>
      </c>
      <c r="L131" s="161" t="n">
        <f aca="false">M131+N131</f>
        <v>0</v>
      </c>
      <c r="M131" s="161"/>
      <c r="N131" s="162"/>
      <c r="O131" s="163" t="n">
        <v>4</v>
      </c>
      <c r="P131" s="161" t="n">
        <v>15652.2</v>
      </c>
      <c r="Q131" s="161" t="n">
        <f aca="false">R131+S131</f>
        <v>649.3</v>
      </c>
      <c r="R131" s="161" t="n">
        <v>649.3</v>
      </c>
      <c r="S131" s="16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 t="s">
        <v>192</v>
      </c>
      <c r="G132" s="164" t="s">
        <v>26</v>
      </c>
      <c r="H132" s="153" t="n">
        <v>2</v>
      </c>
      <c r="I132" s="165"/>
      <c r="J132" s="165"/>
      <c r="K132" s="166"/>
      <c r="L132" s="166" t="n">
        <f aca="false">M132+N132</f>
        <v>0</v>
      </c>
      <c r="M132" s="166"/>
      <c r="N132" s="167"/>
      <c r="O132" s="168"/>
      <c r="P132" s="166" t="n">
        <v>2995.4</v>
      </c>
      <c r="Q132" s="166" t="n">
        <f aca="false">R132+S132</f>
        <v>0</v>
      </c>
      <c r="R132" s="166"/>
      <c r="S132" s="167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" hidden="false" customHeight="true" outlineLevel="0" collapsed="false">
      <c r="A133" s="17"/>
      <c r="B133" s="18" t="s">
        <v>103</v>
      </c>
      <c r="C133" s="19" t="s">
        <v>20</v>
      </c>
      <c r="D133" s="19"/>
      <c r="E133" s="19" t="s">
        <v>52</v>
      </c>
      <c r="F133" s="20"/>
      <c r="G133" s="146" t="s">
        <v>22</v>
      </c>
      <c r="H133" s="169" t="n">
        <v>1</v>
      </c>
      <c r="I133" s="148"/>
      <c r="J133" s="148"/>
      <c r="K133" s="149"/>
      <c r="L133" s="149" t="n">
        <f aca="false">M133+N133</f>
        <v>0</v>
      </c>
      <c r="M133" s="149"/>
      <c r="N133" s="150"/>
      <c r="O133" s="151" t="n">
        <v>3</v>
      </c>
      <c r="P133" s="149" t="n">
        <v>15061.01</v>
      </c>
      <c r="Q133" s="149" t="n">
        <f aca="false">R133+S133</f>
        <v>0</v>
      </c>
      <c r="R133" s="149"/>
      <c r="S133" s="15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26" t="s">
        <v>193</v>
      </c>
      <c r="G134" s="152" t="s">
        <v>26</v>
      </c>
      <c r="H134" s="171" t="n">
        <v>7</v>
      </c>
      <c r="I134" s="154"/>
      <c r="J134" s="154"/>
      <c r="K134" s="155"/>
      <c r="L134" s="155" t="n">
        <f aca="false">M134+N134</f>
        <v>0</v>
      </c>
      <c r="M134" s="155"/>
      <c r="N134" s="156"/>
      <c r="O134" s="157" t="n">
        <v>3</v>
      </c>
      <c r="P134" s="155" t="n">
        <v>10396.4</v>
      </c>
      <c r="Q134" s="155" t="n">
        <f aca="false">R134+S134</f>
        <v>0</v>
      </c>
      <c r="R134" s="155"/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" hidden="false" customHeight="true" outlineLevel="0" collapsed="false">
      <c r="A135" s="54"/>
      <c r="B135" s="55" t="s">
        <v>104</v>
      </c>
      <c r="C135" s="56" t="s">
        <v>20</v>
      </c>
      <c r="D135" s="56"/>
      <c r="E135" s="56" t="s">
        <v>25</v>
      </c>
      <c r="F135" s="22"/>
      <c r="G135" s="146" t="s">
        <v>22</v>
      </c>
      <c r="H135" s="169"/>
      <c r="I135" s="160"/>
      <c r="J135" s="160"/>
      <c r="K135" s="161"/>
      <c r="L135" s="161" t="n">
        <f aca="false">M135+N135</f>
        <v>0</v>
      </c>
      <c r="M135" s="161"/>
      <c r="N135" s="162"/>
      <c r="O135" s="163"/>
      <c r="P135" s="161"/>
      <c r="Q135" s="161" t="n">
        <f aca="false">R135+S135</f>
        <v>0</v>
      </c>
      <c r="R135" s="161"/>
      <c r="S135" s="16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57"/>
      <c r="G136" s="152" t="s">
        <v>26</v>
      </c>
      <c r="H136" s="153"/>
      <c r="I136" s="154"/>
      <c r="J136" s="154"/>
      <c r="K136" s="155"/>
      <c r="L136" s="155" t="n">
        <f aca="false">M136+N136</f>
        <v>0</v>
      </c>
      <c r="M136" s="155"/>
      <c r="N136" s="156"/>
      <c r="O136" s="157"/>
      <c r="P136" s="155"/>
      <c r="Q136" s="155" t="n">
        <f aca="false">R136+S136</f>
        <v>0</v>
      </c>
      <c r="R136" s="155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33"/>
      <c r="B137" s="34" t="s">
        <v>105</v>
      </c>
      <c r="C137" s="35" t="s">
        <v>33</v>
      </c>
      <c r="D137" s="35" t="s">
        <v>106</v>
      </c>
      <c r="E137" s="35" t="s">
        <v>107</v>
      </c>
      <c r="F137" s="36"/>
      <c r="G137" s="146" t="s">
        <v>22</v>
      </c>
      <c r="H137" s="169"/>
      <c r="I137" s="160"/>
      <c r="J137" s="160"/>
      <c r="K137" s="161"/>
      <c r="L137" s="161" t="n">
        <f aca="false">M137+N137</f>
        <v>0</v>
      </c>
      <c r="M137" s="161"/>
      <c r="N137" s="162"/>
      <c r="O137" s="163" t="n">
        <v>6</v>
      </c>
      <c r="P137" s="161" t="n">
        <v>14967.24</v>
      </c>
      <c r="Q137" s="161" t="n">
        <f aca="false">R137+S137</f>
        <v>7780.05</v>
      </c>
      <c r="R137" s="161" t="n">
        <v>7780.05</v>
      </c>
      <c r="S137" s="16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33"/>
      <c r="B138" s="34"/>
      <c r="C138" s="34"/>
      <c r="D138" s="34"/>
      <c r="E138" s="34"/>
      <c r="F138" s="42" t="s">
        <v>194</v>
      </c>
      <c r="G138" s="164" t="s">
        <v>26</v>
      </c>
      <c r="H138" s="153" t="n">
        <v>1</v>
      </c>
      <c r="I138" s="165"/>
      <c r="J138" s="165"/>
      <c r="K138" s="166"/>
      <c r="L138" s="166" t="n">
        <v>881</v>
      </c>
      <c r="M138" s="166" t="n">
        <v>881</v>
      </c>
      <c r="N138" s="167"/>
      <c r="O138" s="168" t="n">
        <v>6</v>
      </c>
      <c r="P138" s="166" t="n">
        <v>23645.16</v>
      </c>
      <c r="Q138" s="166" t="n">
        <f aca="false">R138+S138</f>
        <v>0</v>
      </c>
      <c r="R138" s="166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72"/>
      <c r="B139" s="73" t="s">
        <v>108</v>
      </c>
      <c r="C139" s="74" t="s">
        <v>33</v>
      </c>
      <c r="D139" s="74" t="s">
        <v>109</v>
      </c>
      <c r="E139" s="74" t="s">
        <v>25</v>
      </c>
      <c r="F139" s="20"/>
      <c r="G139" s="146" t="s">
        <v>22</v>
      </c>
      <c r="H139" s="159" t="n">
        <v>6</v>
      </c>
      <c r="I139" s="148" t="n">
        <v>5</v>
      </c>
      <c r="J139" s="148" t="n">
        <v>6</v>
      </c>
      <c r="K139" s="149" t="n">
        <v>11519.11</v>
      </c>
      <c r="L139" s="149" t="n">
        <f aca="false">M139+N139</f>
        <v>0</v>
      </c>
      <c r="M139" s="149"/>
      <c r="N139" s="150"/>
      <c r="O139" s="151" t="n">
        <v>10</v>
      </c>
      <c r="P139" s="149" t="n">
        <v>24273.27</v>
      </c>
      <c r="Q139" s="149" t="n">
        <f aca="false">R139+S139</f>
        <v>3347.8</v>
      </c>
      <c r="R139" s="149" t="n">
        <v>3347.8</v>
      </c>
      <c r="S139" s="150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72"/>
      <c r="B140" s="73"/>
      <c r="C140" s="73"/>
      <c r="D140" s="73"/>
      <c r="E140" s="73"/>
      <c r="F140" s="42" t="s">
        <v>195</v>
      </c>
      <c r="G140" s="164" t="s">
        <v>26</v>
      </c>
      <c r="H140" s="171" t="n">
        <v>6</v>
      </c>
      <c r="I140" s="165"/>
      <c r="J140" s="165"/>
      <c r="K140" s="166" t="n">
        <v>11699.68</v>
      </c>
      <c r="L140" s="166" t="n">
        <f aca="false">M140+N140</f>
        <v>0</v>
      </c>
      <c r="M140" s="166"/>
      <c r="N140" s="167"/>
      <c r="O140" s="168" t="n">
        <v>4</v>
      </c>
      <c r="P140" s="166" t="n">
        <v>28103.9</v>
      </c>
      <c r="Q140" s="166" t="n">
        <f aca="false">R140+S140</f>
        <v>0</v>
      </c>
      <c r="R140" s="166"/>
      <c r="S140" s="167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 t="s">
        <v>110</v>
      </c>
      <c r="C141" s="19" t="s">
        <v>33</v>
      </c>
      <c r="D141" s="19" t="s">
        <v>111</v>
      </c>
      <c r="E141" s="19" t="s">
        <v>25</v>
      </c>
      <c r="F141" s="20"/>
      <c r="G141" s="146" t="s">
        <v>22</v>
      </c>
      <c r="H141" s="159" t="n">
        <v>16</v>
      </c>
      <c r="I141" s="148" t="n">
        <v>14</v>
      </c>
      <c r="J141" s="193" t="n">
        <v>15</v>
      </c>
      <c r="K141" s="149" t="n">
        <v>15386.18</v>
      </c>
      <c r="L141" s="149" t="n">
        <f aca="false">M141+N141</f>
        <v>1494.18</v>
      </c>
      <c r="M141" s="149" t="n">
        <v>1494.18</v>
      </c>
      <c r="N141" s="150"/>
      <c r="O141" s="151" t="n">
        <v>8</v>
      </c>
      <c r="P141" s="149" t="n">
        <v>22633.42</v>
      </c>
      <c r="Q141" s="149" t="n">
        <f aca="false">R141+S141</f>
        <v>8854.81</v>
      </c>
      <c r="R141" s="149" t="n">
        <v>8854.81</v>
      </c>
      <c r="S141" s="15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196</v>
      </c>
      <c r="G142" s="152" t="s">
        <v>26</v>
      </c>
      <c r="H142" s="153" t="n">
        <v>0</v>
      </c>
      <c r="I142" s="154" t="n">
        <v>1</v>
      </c>
      <c r="J142" s="154" t="n">
        <v>1</v>
      </c>
      <c r="K142" s="155"/>
      <c r="L142" s="155" t="n">
        <f aca="false">M142+N142</f>
        <v>0</v>
      </c>
      <c r="M142" s="155"/>
      <c r="N142" s="156"/>
      <c r="O142" s="157" t="n">
        <v>3</v>
      </c>
      <c r="P142" s="155"/>
      <c r="Q142" s="155" t="n">
        <f aca="false">R142+S142</f>
        <v>0</v>
      </c>
      <c r="R142" s="155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33"/>
      <c r="B143" s="34" t="s">
        <v>112</v>
      </c>
      <c r="C143" s="35" t="s">
        <v>20</v>
      </c>
      <c r="D143" s="35" t="s">
        <v>197</v>
      </c>
      <c r="E143" s="35" t="s">
        <v>25</v>
      </c>
      <c r="F143" s="36"/>
      <c r="G143" s="146" t="s">
        <v>22</v>
      </c>
      <c r="H143" s="159" t="n">
        <v>5</v>
      </c>
      <c r="I143" s="160" t="n">
        <v>4</v>
      </c>
      <c r="J143" s="160" t="n">
        <v>5</v>
      </c>
      <c r="K143" s="140" t="n">
        <v>9984.81</v>
      </c>
      <c r="L143" s="140" t="n">
        <f aca="false">M143+N143</f>
        <v>1162.92</v>
      </c>
      <c r="M143" s="140" t="n">
        <v>1162.92</v>
      </c>
      <c r="N143" s="162"/>
      <c r="O143" s="163" t="n">
        <v>2</v>
      </c>
      <c r="P143" s="161" t="n">
        <v>3754.26</v>
      </c>
      <c r="Q143" s="161" t="n">
        <f aca="false">R143+S143</f>
        <v>0</v>
      </c>
      <c r="R143" s="161"/>
      <c r="S143" s="16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26" t="s">
        <v>198</v>
      </c>
      <c r="G144" s="152" t="s">
        <v>26</v>
      </c>
      <c r="H144" s="171" t="n">
        <v>2</v>
      </c>
      <c r="I144" s="165"/>
      <c r="J144" s="165"/>
      <c r="K144" s="166"/>
      <c r="L144" s="166" t="n">
        <f aca="false">M144+N144</f>
        <v>0</v>
      </c>
      <c r="M144" s="166"/>
      <c r="N144" s="167"/>
      <c r="O144" s="168" t="n">
        <v>1</v>
      </c>
      <c r="P144" s="166" t="n">
        <v>2114.4</v>
      </c>
      <c r="Q144" s="166" t="n">
        <f aca="false">R144+S144</f>
        <v>0</v>
      </c>
      <c r="R144" s="166"/>
      <c r="S144" s="167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" hidden="false" customHeight="true" outlineLevel="0" collapsed="false">
      <c r="A145" s="17"/>
      <c r="B145" s="18" t="s">
        <v>113</v>
      </c>
      <c r="C145" s="19" t="s">
        <v>20</v>
      </c>
      <c r="D145" s="19"/>
      <c r="E145" s="19" t="s">
        <v>31</v>
      </c>
      <c r="F145" s="36"/>
      <c r="G145" s="146" t="s">
        <v>22</v>
      </c>
      <c r="H145" s="159" t="n">
        <v>4</v>
      </c>
      <c r="I145" s="148" t="n">
        <v>3</v>
      </c>
      <c r="J145" s="148" t="n">
        <v>4</v>
      </c>
      <c r="K145" s="149" t="n">
        <v>7903.02</v>
      </c>
      <c r="L145" s="149" t="n">
        <f aca="false">M145+N145</f>
        <v>4858.85</v>
      </c>
      <c r="M145" s="149" t="n">
        <v>4858.85</v>
      </c>
      <c r="N145" s="150"/>
      <c r="O145" s="151" t="n">
        <v>1</v>
      </c>
      <c r="P145" s="149" t="n">
        <v>697.75</v>
      </c>
      <c r="Q145" s="149" t="n">
        <f aca="false">R145+S145</f>
        <v>1583.16</v>
      </c>
      <c r="R145" s="149" t="n">
        <v>1583.16</v>
      </c>
      <c r="S145" s="15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57"/>
      <c r="G146" s="152" t="s">
        <v>26</v>
      </c>
      <c r="H146" s="153"/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33"/>
      <c r="B147" s="34" t="s">
        <v>114</v>
      </c>
      <c r="C147" s="35" t="s">
        <v>20</v>
      </c>
      <c r="D147" s="95"/>
      <c r="E147" s="35" t="s">
        <v>25</v>
      </c>
      <c r="F147" s="71"/>
      <c r="G147" s="146" t="s">
        <v>22</v>
      </c>
      <c r="H147" s="169"/>
      <c r="I147" s="160"/>
      <c r="J147" s="160"/>
      <c r="K147" s="161"/>
      <c r="L147" s="161" t="n">
        <f aca="false">M147+N147</f>
        <v>0</v>
      </c>
      <c r="M147" s="161"/>
      <c r="N147" s="162"/>
      <c r="O147" s="163"/>
      <c r="P147" s="161"/>
      <c r="Q147" s="161" t="n">
        <f aca="false">R147+S147</f>
        <v>0</v>
      </c>
      <c r="R147" s="161"/>
      <c r="S147" s="16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199</v>
      </c>
      <c r="G148" s="164" t="s">
        <v>26</v>
      </c>
      <c r="H148" s="175" t="n">
        <v>2</v>
      </c>
      <c r="I148" s="165"/>
      <c r="J148" s="165"/>
      <c r="K148" s="166"/>
      <c r="L148" s="166" t="n">
        <f aca="false">M148+N148</f>
        <v>0</v>
      </c>
      <c r="M148" s="166"/>
      <c r="N148" s="167"/>
      <c r="O148" s="168"/>
      <c r="P148" s="166"/>
      <c r="Q148" s="166" t="n">
        <f aca="false">R148+S148</f>
        <v>0</v>
      </c>
      <c r="R148" s="166"/>
      <c r="S148" s="167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243</v>
      </c>
      <c r="C149" s="219"/>
      <c r="D149" s="19"/>
      <c r="E149" s="19"/>
      <c r="F149" s="20"/>
      <c r="G149" s="21" t="s">
        <v>22</v>
      </c>
      <c r="H149" s="193"/>
      <c r="I149" s="148"/>
      <c r="J149" s="148"/>
      <c r="K149" s="149"/>
      <c r="L149" s="149" t="n">
        <f aca="false">M149+N149</f>
        <v>0</v>
      </c>
      <c r="M149" s="149"/>
      <c r="N149" s="149"/>
      <c r="O149" s="148"/>
      <c r="P149" s="149"/>
      <c r="Q149" s="149" t="n">
        <f aca="false">R149+S149</f>
        <v>0</v>
      </c>
      <c r="R149" s="149"/>
      <c r="S149" s="15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57"/>
      <c r="G150" s="27" t="s">
        <v>26</v>
      </c>
      <c r="H150" s="218" t="n">
        <v>2</v>
      </c>
      <c r="I150" s="154"/>
      <c r="J150" s="154"/>
      <c r="K150" s="155"/>
      <c r="L150" s="155" t="n">
        <f aca="false">M150+N150</f>
        <v>0</v>
      </c>
      <c r="M150" s="155"/>
      <c r="N150" s="155"/>
      <c r="O150" s="154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54"/>
      <c r="B151" s="55" t="s">
        <v>200</v>
      </c>
      <c r="C151" s="220"/>
      <c r="D151" s="56"/>
      <c r="E151" s="56"/>
      <c r="F151" s="36"/>
      <c r="G151" s="158" t="s">
        <v>22</v>
      </c>
      <c r="H151" s="159" t="n">
        <v>10</v>
      </c>
      <c r="I151" s="160" t="n">
        <v>7</v>
      </c>
      <c r="J151" s="160" t="n">
        <v>7</v>
      </c>
      <c r="K151" s="161" t="n">
        <v>2202.5</v>
      </c>
      <c r="L151" s="161" t="n">
        <f aca="false">M151+N151</f>
        <v>0</v>
      </c>
      <c r="M151" s="161"/>
      <c r="N151" s="162"/>
      <c r="O151" s="163"/>
      <c r="P151" s="161"/>
      <c r="Q151" s="161" t="n">
        <f aca="false">R151+S151</f>
        <v>0</v>
      </c>
      <c r="R151" s="161"/>
      <c r="S151" s="16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54"/>
      <c r="B152" s="55"/>
      <c r="C152" s="55"/>
      <c r="D152" s="55"/>
      <c r="E152" s="55"/>
      <c r="F152" s="57"/>
      <c r="G152" s="152" t="s">
        <v>26</v>
      </c>
      <c r="H152" s="174" t="n">
        <v>4</v>
      </c>
      <c r="I152" s="154" t="n">
        <v>2</v>
      </c>
      <c r="J152" s="154" t="n">
        <v>2</v>
      </c>
      <c r="K152" s="155" t="n">
        <v>2466.8</v>
      </c>
      <c r="L152" s="155" t="n">
        <f aca="false">M152+N152</f>
        <v>0</v>
      </c>
      <c r="M152" s="155"/>
      <c r="N152" s="15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54"/>
      <c r="B153" s="55" t="s">
        <v>115</v>
      </c>
      <c r="C153" s="56" t="s">
        <v>20</v>
      </c>
      <c r="D153" s="56"/>
      <c r="E153" s="56" t="s">
        <v>116</v>
      </c>
      <c r="F153" s="36"/>
      <c r="G153" s="158" t="s">
        <v>22</v>
      </c>
      <c r="H153" s="159" t="n">
        <v>9</v>
      </c>
      <c r="I153" s="160" t="n">
        <v>5</v>
      </c>
      <c r="J153" s="160" t="n">
        <v>5</v>
      </c>
      <c r="K153" s="161" t="n">
        <v>2886.16</v>
      </c>
      <c r="L153" s="161" t="n">
        <f aca="false">M153+N153</f>
        <v>264.3</v>
      </c>
      <c r="M153" s="161" t="n">
        <v>264.3</v>
      </c>
      <c r="N153" s="162"/>
      <c r="O153" s="163" t="n">
        <v>8</v>
      </c>
      <c r="P153" s="161" t="n">
        <v>7160.76</v>
      </c>
      <c r="Q153" s="161" t="n">
        <f aca="false">R153+S153</f>
        <v>4414.68</v>
      </c>
      <c r="R153" s="161" t="n">
        <v>4414.68</v>
      </c>
      <c r="S153" s="16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42" t="s">
        <v>201</v>
      </c>
      <c r="G154" s="164" t="s">
        <v>26</v>
      </c>
      <c r="H154" s="172" t="n">
        <v>5</v>
      </c>
      <c r="I154" s="165" t="n">
        <v>1</v>
      </c>
      <c r="J154" s="165" t="n">
        <v>1</v>
      </c>
      <c r="K154" s="166" t="n">
        <v>5286</v>
      </c>
      <c r="L154" s="166" t="n">
        <v>881</v>
      </c>
      <c r="M154" s="166" t="n">
        <v>881</v>
      </c>
      <c r="N154" s="167"/>
      <c r="O154" s="168" t="n">
        <v>8</v>
      </c>
      <c r="P154" s="166" t="n">
        <v>881</v>
      </c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157</v>
      </c>
      <c r="C155" s="19"/>
      <c r="D155" s="19"/>
      <c r="E155" s="127"/>
      <c r="F155" s="22"/>
      <c r="G155" s="146" t="s">
        <v>22</v>
      </c>
      <c r="H155" s="147" t="n">
        <v>3</v>
      </c>
      <c r="I155" s="148" t="n">
        <v>1</v>
      </c>
      <c r="J155" s="148" t="n">
        <v>1</v>
      </c>
      <c r="K155" s="149" t="n">
        <v>3876.4</v>
      </c>
      <c r="L155" s="149" t="n">
        <f aca="false">M155+N155</f>
        <v>0</v>
      </c>
      <c r="M155" s="149"/>
      <c r="N155" s="150"/>
      <c r="O155" s="151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" hidden="false" customHeight="false" outlineLevel="0" collapsed="false">
      <c r="A156" s="17"/>
      <c r="B156" s="18"/>
      <c r="C156" s="18"/>
      <c r="D156" s="18"/>
      <c r="E156" s="127"/>
      <c r="F156" s="26" t="s">
        <v>202</v>
      </c>
      <c r="G156" s="152" t="s">
        <v>26</v>
      </c>
      <c r="H156" s="176" t="n">
        <v>1</v>
      </c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117</v>
      </c>
      <c r="C157" s="35" t="s">
        <v>33</v>
      </c>
      <c r="D157" s="35" t="s">
        <v>118</v>
      </c>
      <c r="E157" s="74" t="s">
        <v>25</v>
      </c>
      <c r="F157" s="89"/>
      <c r="G157" s="158" t="s">
        <v>22</v>
      </c>
      <c r="H157" s="169"/>
      <c r="I157" s="160"/>
      <c r="J157" s="160"/>
      <c r="K157" s="161"/>
      <c r="L157" s="161" t="n">
        <f aca="false">M157+N157</f>
        <v>0</v>
      </c>
      <c r="M157" s="161"/>
      <c r="N157" s="162"/>
      <c r="O157" s="163"/>
      <c r="P157" s="161"/>
      <c r="Q157" s="161" t="n">
        <f aca="false">R157+S157</f>
        <v>0</v>
      </c>
      <c r="R157" s="161"/>
      <c r="S157" s="16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" hidden="false" customHeight="false" outlineLevel="0" collapsed="false">
      <c r="A158" s="33"/>
      <c r="B158" s="34"/>
      <c r="C158" s="34"/>
      <c r="D158" s="34"/>
      <c r="E158" s="34"/>
      <c r="F158" s="42"/>
      <c r="G158" s="158" t="s">
        <v>23</v>
      </c>
      <c r="H158" s="169"/>
      <c r="I158" s="160"/>
      <c r="J158" s="160"/>
      <c r="K158" s="161"/>
      <c r="L158" s="161" t="n">
        <f aca="false">M158+N158</f>
        <v>0</v>
      </c>
      <c r="M158" s="161"/>
      <c r="N158" s="162"/>
      <c r="O158" s="163"/>
      <c r="P158" s="161"/>
      <c r="Q158" s="161" t="n">
        <f aca="false">R158+S158</f>
        <v>0</v>
      </c>
      <c r="R158" s="161"/>
      <c r="S158" s="16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false" outlineLevel="0" collapsed="false">
      <c r="A159" s="33"/>
      <c r="B159" s="34"/>
      <c r="C159" s="34"/>
      <c r="D159" s="34"/>
      <c r="E159" s="34"/>
      <c r="F159" s="42"/>
      <c r="G159" s="164" t="s">
        <v>26</v>
      </c>
      <c r="H159" s="153"/>
      <c r="I159" s="165"/>
      <c r="J159" s="165"/>
      <c r="K159" s="166"/>
      <c r="L159" s="166" t="n">
        <f aca="false">M159+N159</f>
        <v>0</v>
      </c>
      <c r="M159" s="166"/>
      <c r="N159" s="167"/>
      <c r="O159" s="168" t="n">
        <v>5</v>
      </c>
      <c r="P159" s="166" t="n">
        <v>4845.5</v>
      </c>
      <c r="Q159" s="166" t="n">
        <f aca="false">R159+S159</f>
        <v>0</v>
      </c>
      <c r="R159" s="166"/>
      <c r="S159" s="167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" hidden="false" customHeight="true" outlineLevel="0" collapsed="false">
      <c r="A160" s="17"/>
      <c r="B160" s="18" t="s">
        <v>119</v>
      </c>
      <c r="C160" s="19" t="s">
        <v>20</v>
      </c>
      <c r="D160" s="19"/>
      <c r="E160" s="19" t="s">
        <v>25</v>
      </c>
      <c r="F160" s="20"/>
      <c r="G160" s="146" t="s">
        <v>22</v>
      </c>
      <c r="H160" s="169"/>
      <c r="I160" s="148"/>
      <c r="J160" s="148"/>
      <c r="K160" s="149"/>
      <c r="L160" s="149" t="n">
        <f aca="false">M160+N160</f>
        <v>0</v>
      </c>
      <c r="M160" s="149"/>
      <c r="N160" s="150"/>
      <c r="O160" s="151" t="n">
        <v>1</v>
      </c>
      <c r="P160" s="149" t="n">
        <v>1762</v>
      </c>
      <c r="Q160" s="149" t="n">
        <f aca="false">R160+S160</f>
        <v>0</v>
      </c>
      <c r="R160" s="149"/>
      <c r="S160" s="150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/>
      <c r="C161" s="18"/>
      <c r="D161" s="18"/>
      <c r="E161" s="18"/>
      <c r="F161" s="42" t="s">
        <v>203</v>
      </c>
      <c r="G161" s="164" t="s">
        <v>26</v>
      </c>
      <c r="H161" s="175" t="n">
        <v>3</v>
      </c>
      <c r="I161" s="165" t="n">
        <v>1</v>
      </c>
      <c r="J161" s="165" t="n">
        <v>1</v>
      </c>
      <c r="K161" s="166" t="n">
        <v>704.8</v>
      </c>
      <c r="L161" s="166" t="n">
        <f aca="false">M161+N161</f>
        <v>881</v>
      </c>
      <c r="M161" s="166" t="n">
        <v>881</v>
      </c>
      <c r="N161" s="167"/>
      <c r="O161" s="168" t="n">
        <v>1</v>
      </c>
      <c r="P161" s="166" t="n">
        <v>3524</v>
      </c>
      <c r="Q161" s="166" t="n">
        <f aca="false">R161+S161</f>
        <v>0</v>
      </c>
      <c r="R161" s="166"/>
      <c r="S161" s="167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" hidden="false" customHeight="true" outlineLevel="0" collapsed="false">
      <c r="A162" s="17"/>
      <c r="B162" s="18" t="s">
        <v>225</v>
      </c>
      <c r="C162" s="19"/>
      <c r="D162" s="19"/>
      <c r="E162" s="19"/>
      <c r="F162" s="20"/>
      <c r="G162" s="146" t="s">
        <v>22</v>
      </c>
      <c r="H162" s="147"/>
      <c r="I162" s="148"/>
      <c r="J162" s="148"/>
      <c r="K162" s="149"/>
      <c r="L162" s="149" t="n">
        <f aca="false">M162+N162</f>
        <v>0</v>
      </c>
      <c r="M162" s="149"/>
      <c r="N162" s="150"/>
      <c r="O162" s="151"/>
      <c r="P162" s="149"/>
      <c r="Q162" s="149" t="n">
        <f aca="false">R162+S162</f>
        <v>0</v>
      </c>
      <c r="R162" s="149"/>
      <c r="S162" s="150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false" outlineLevel="0" collapsed="false">
      <c r="A163" s="17"/>
      <c r="B163" s="18"/>
      <c r="C163" s="18"/>
      <c r="D163" s="18"/>
      <c r="E163" s="18"/>
      <c r="F163" s="26" t="s">
        <v>244</v>
      </c>
      <c r="G163" s="152" t="s">
        <v>23</v>
      </c>
      <c r="H163" s="176" t="n">
        <v>4</v>
      </c>
      <c r="I163" s="154"/>
      <c r="J163" s="154"/>
      <c r="K163" s="155"/>
      <c r="L163" s="155" t="n">
        <f aca="false">M163+N163</f>
        <v>0</v>
      </c>
      <c r="M163" s="155"/>
      <c r="N163" s="156"/>
      <c r="O163" s="157"/>
      <c r="P163" s="155"/>
      <c r="Q163" s="155" t="n">
        <f aca="false">R163+S163</f>
        <v>0</v>
      </c>
      <c r="R163" s="155"/>
      <c r="S163" s="156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" hidden="false" customHeight="true" outlineLevel="0" collapsed="false">
      <c r="A164" s="54"/>
      <c r="B164" s="55" t="s">
        <v>120</v>
      </c>
      <c r="C164" s="56" t="s">
        <v>20</v>
      </c>
      <c r="D164" s="56"/>
      <c r="E164" s="56" t="s">
        <v>25</v>
      </c>
      <c r="F164" s="36"/>
      <c r="G164" s="158" t="s">
        <v>22</v>
      </c>
      <c r="H164" s="169"/>
      <c r="I164" s="160"/>
      <c r="J164" s="160"/>
      <c r="K164" s="161"/>
      <c r="L164" s="161" t="n">
        <f aca="false">M164+N164</f>
        <v>0</v>
      </c>
      <c r="M164" s="161"/>
      <c r="N164" s="162"/>
      <c r="O164" s="194" t="n">
        <v>3</v>
      </c>
      <c r="P164" s="161" t="n">
        <v>3063.78</v>
      </c>
      <c r="Q164" s="161" t="n">
        <f aca="false">R164+S164</f>
        <v>3063.78</v>
      </c>
      <c r="R164" s="161" t="n">
        <v>3063.78</v>
      </c>
      <c r="S164" s="16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54"/>
      <c r="B165" s="55"/>
      <c r="C165" s="55"/>
      <c r="D165" s="55"/>
      <c r="E165" s="55"/>
      <c r="F165" s="71"/>
      <c r="G165" s="164" t="s">
        <v>26</v>
      </c>
      <c r="H165" s="175"/>
      <c r="I165" s="165"/>
      <c r="J165" s="165"/>
      <c r="K165" s="166"/>
      <c r="L165" s="166" t="n">
        <f aca="false">M165+N165</f>
        <v>0</v>
      </c>
      <c r="M165" s="166"/>
      <c r="N165" s="167"/>
      <c r="O165" s="168"/>
      <c r="P165" s="166"/>
      <c r="Q165" s="166" t="n">
        <f aca="false">R165+S165</f>
        <v>0</v>
      </c>
      <c r="R165" s="166"/>
      <c r="S165" s="167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true" outlineLevel="0" collapsed="false">
      <c r="A166" s="72"/>
      <c r="B166" s="18" t="s">
        <v>158</v>
      </c>
      <c r="C166" s="74"/>
      <c r="D166" s="56" t="s">
        <v>204</v>
      </c>
      <c r="E166" s="74"/>
      <c r="F166" s="53"/>
      <c r="G166" s="146" t="s">
        <v>22</v>
      </c>
      <c r="H166" s="195"/>
      <c r="I166" s="196"/>
      <c r="J166" s="196"/>
      <c r="K166" s="197"/>
      <c r="L166" s="197" t="n">
        <f aca="false">M166+N166</f>
        <v>0</v>
      </c>
      <c r="M166" s="197"/>
      <c r="N166" s="198"/>
      <c r="O166" s="199"/>
      <c r="P166" s="197"/>
      <c r="Q166" s="197" t="n">
        <f aca="false">R166+S166</f>
        <v>0</v>
      </c>
      <c r="R166" s="197"/>
      <c r="S166" s="198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false" outlineLevel="0" collapsed="false">
      <c r="A167" s="54"/>
      <c r="B167" s="18"/>
      <c r="C167" s="56"/>
      <c r="D167" s="56"/>
      <c r="E167" s="56"/>
      <c r="F167" s="138" t="s">
        <v>205</v>
      </c>
      <c r="G167" s="152" t="s">
        <v>26</v>
      </c>
      <c r="H167" s="153" t="n">
        <v>2</v>
      </c>
      <c r="I167" s="200"/>
      <c r="J167" s="200"/>
      <c r="K167" s="201"/>
      <c r="L167" s="201" t="n">
        <f aca="false">M167+N167</f>
        <v>0</v>
      </c>
      <c r="M167" s="201"/>
      <c r="N167" s="202"/>
      <c r="O167" s="203"/>
      <c r="P167" s="201"/>
      <c r="Q167" s="201" t="n">
        <f aca="false">R167+S167</f>
        <v>0</v>
      </c>
      <c r="R167" s="201"/>
      <c r="S167" s="20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true" outlineLevel="0" collapsed="false">
      <c r="A168" s="33"/>
      <c r="B168" s="34" t="s">
        <v>152</v>
      </c>
      <c r="C168" s="35" t="s">
        <v>20</v>
      </c>
      <c r="D168" s="35"/>
      <c r="E168" s="35" t="s">
        <v>25</v>
      </c>
      <c r="F168" s="36"/>
      <c r="G168" s="158" t="s">
        <v>22</v>
      </c>
      <c r="H168" s="169"/>
      <c r="I168" s="160"/>
      <c r="J168" s="160"/>
      <c r="K168" s="161"/>
      <c r="L168" s="161" t="n">
        <f aca="false">M168+N168</f>
        <v>0</v>
      </c>
      <c r="M168" s="161"/>
      <c r="N168" s="162"/>
      <c r="O168" s="163" t="n">
        <v>1</v>
      </c>
      <c r="P168" s="161" t="n">
        <v>2819.2</v>
      </c>
      <c r="Q168" s="161" t="n">
        <f aca="false">R168+S168</f>
        <v>0</v>
      </c>
      <c r="R168" s="161"/>
      <c r="S168" s="16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33"/>
      <c r="B169" s="34"/>
      <c r="C169" s="34"/>
      <c r="D169" s="34"/>
      <c r="E169" s="34"/>
      <c r="F169" s="42" t="s">
        <v>206</v>
      </c>
      <c r="G169" s="164" t="s">
        <v>26</v>
      </c>
      <c r="H169" s="171" t="n">
        <v>4</v>
      </c>
      <c r="I169" s="165"/>
      <c r="J169" s="165"/>
      <c r="K169" s="166"/>
      <c r="L169" s="166" t="n">
        <v>1145.3</v>
      </c>
      <c r="M169" s="166" t="n">
        <v>1145.3</v>
      </c>
      <c r="N169" s="167"/>
      <c r="O169" s="168" t="n">
        <v>3</v>
      </c>
      <c r="P169" s="166" t="n">
        <v>5814.6</v>
      </c>
      <c r="Q169" s="166" t="n">
        <f aca="false">R169+S169</f>
        <v>0</v>
      </c>
      <c r="R169" s="166"/>
      <c r="S169" s="167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122</v>
      </c>
      <c r="C170" s="19" t="s">
        <v>20</v>
      </c>
      <c r="D170" s="19"/>
      <c r="E170" s="19" t="s">
        <v>116</v>
      </c>
      <c r="F170" s="20"/>
      <c r="G170" s="146" t="s">
        <v>22</v>
      </c>
      <c r="H170" s="159" t="n">
        <v>18</v>
      </c>
      <c r="I170" s="148" t="n">
        <v>14</v>
      </c>
      <c r="J170" s="148" t="n">
        <v>14</v>
      </c>
      <c r="K170" s="149" t="n">
        <v>20521.15</v>
      </c>
      <c r="L170" s="149" t="n">
        <f aca="false">M170+N170</f>
        <v>3607.7</v>
      </c>
      <c r="M170" s="149" t="n">
        <v>3607.7</v>
      </c>
      <c r="N170" s="150"/>
      <c r="O170" s="151" t="n">
        <v>20</v>
      </c>
      <c r="P170" s="149" t="n">
        <v>55831.02</v>
      </c>
      <c r="Q170" s="149" t="n">
        <f aca="false">R170+S170</f>
        <v>12768.32</v>
      </c>
      <c r="R170" s="149" t="n">
        <v>12768.32</v>
      </c>
      <c r="S170" s="15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57"/>
      <c r="G171" s="152" t="s">
        <v>26</v>
      </c>
      <c r="H171" s="153"/>
      <c r="I171" s="154"/>
      <c r="J171" s="154"/>
      <c r="K171" s="155"/>
      <c r="L171" s="155" t="n">
        <f aca="false">M171+N171</f>
        <v>0</v>
      </c>
      <c r="M171" s="155"/>
      <c r="N171" s="156"/>
      <c r="O171" s="157"/>
      <c r="P171" s="155"/>
      <c r="Q171" s="155" t="n">
        <f aca="false">R171+S171</f>
        <v>0</v>
      </c>
      <c r="R171" s="155"/>
      <c r="S171" s="156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33"/>
      <c r="B172" s="34" t="s">
        <v>123</v>
      </c>
      <c r="C172" s="35" t="s">
        <v>20</v>
      </c>
      <c r="D172" s="35"/>
      <c r="E172" s="35" t="s">
        <v>25</v>
      </c>
      <c r="F172" s="36"/>
      <c r="G172" s="146" t="s">
        <v>22</v>
      </c>
      <c r="H172" s="159" t="n">
        <v>2</v>
      </c>
      <c r="I172" s="160" t="n">
        <v>2</v>
      </c>
      <c r="J172" s="160" t="n">
        <v>2</v>
      </c>
      <c r="K172" s="161" t="n">
        <v>881</v>
      </c>
      <c r="L172" s="161" t="n">
        <f aca="false">M172+N172</f>
        <v>881</v>
      </c>
      <c r="M172" s="161" t="n">
        <v>881</v>
      </c>
      <c r="N172" s="162"/>
      <c r="O172" s="163" t="n">
        <v>1</v>
      </c>
      <c r="P172" s="161" t="n">
        <v>1752.91</v>
      </c>
      <c r="Q172" s="161" t="n">
        <f aca="false">R172+S172</f>
        <v>6930.62</v>
      </c>
      <c r="R172" s="161" t="n">
        <v>6930.62</v>
      </c>
      <c r="S172" s="16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33"/>
      <c r="B173" s="34"/>
      <c r="C173" s="34"/>
      <c r="D173" s="34"/>
      <c r="E173" s="34"/>
      <c r="F173" s="42" t="s">
        <v>207</v>
      </c>
      <c r="G173" s="164" t="s">
        <v>26</v>
      </c>
      <c r="H173" s="153" t="n">
        <v>1</v>
      </c>
      <c r="I173" s="165"/>
      <c r="J173" s="165"/>
      <c r="K173" s="166"/>
      <c r="L173" s="166" t="n">
        <v>881</v>
      </c>
      <c r="M173" s="166" t="n">
        <v>881</v>
      </c>
      <c r="N173" s="167"/>
      <c r="O173" s="168" t="n">
        <v>1</v>
      </c>
      <c r="P173" s="166"/>
      <c r="Q173" s="166" t="n">
        <f aca="false">R173+S173</f>
        <v>0</v>
      </c>
      <c r="R173" s="166"/>
      <c r="S173" s="167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17"/>
      <c r="B174" s="18" t="s">
        <v>124</v>
      </c>
      <c r="C174" s="19" t="s">
        <v>20</v>
      </c>
      <c r="D174" s="19"/>
      <c r="E174" s="19" t="s">
        <v>88</v>
      </c>
      <c r="F174" s="20"/>
      <c r="G174" s="146" t="s">
        <v>22</v>
      </c>
      <c r="H174" s="159" t="n">
        <v>6</v>
      </c>
      <c r="I174" s="148" t="n">
        <v>1</v>
      </c>
      <c r="J174" s="148" t="n">
        <v>1</v>
      </c>
      <c r="K174" s="149" t="n">
        <v>3286.13</v>
      </c>
      <c r="L174" s="149" t="n">
        <f aca="false">M174+N174</f>
        <v>0</v>
      </c>
      <c r="M174" s="149"/>
      <c r="N174" s="150"/>
      <c r="O174" s="151" t="n">
        <v>6</v>
      </c>
      <c r="P174" s="149" t="n">
        <v>8939.06</v>
      </c>
      <c r="Q174" s="149" t="n">
        <f aca="false">R174+S174</f>
        <v>14475.42</v>
      </c>
      <c r="R174" s="149" t="n">
        <v>14475.42</v>
      </c>
      <c r="S174" s="15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42" t="s">
        <v>245</v>
      </c>
      <c r="G175" s="164" t="s">
        <v>23</v>
      </c>
      <c r="H175" s="172" t="n">
        <v>7</v>
      </c>
      <c r="I175" s="165"/>
      <c r="J175" s="165"/>
      <c r="K175" s="166"/>
      <c r="L175" s="166" t="n">
        <v>0</v>
      </c>
      <c r="M175" s="166"/>
      <c r="N175" s="167"/>
      <c r="O175" s="168" t="n">
        <v>2</v>
      </c>
      <c r="P175" s="166" t="n">
        <v>3976.4</v>
      </c>
      <c r="Q175" s="166" t="n">
        <v>3976.4</v>
      </c>
      <c r="R175" s="166" t="n">
        <v>3976.4</v>
      </c>
      <c r="S175" s="167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17"/>
      <c r="B176" s="18" t="s">
        <v>208</v>
      </c>
      <c r="C176" s="19"/>
      <c r="D176" s="19"/>
      <c r="E176" s="127"/>
      <c r="F176" s="20"/>
      <c r="G176" s="146" t="s">
        <v>22</v>
      </c>
      <c r="H176" s="173" t="n">
        <v>5</v>
      </c>
      <c r="I176" s="148"/>
      <c r="J176" s="148"/>
      <c r="K176" s="149"/>
      <c r="L176" s="149" t="n">
        <f aca="false">M176+N176</f>
        <v>0</v>
      </c>
      <c r="M176" s="149"/>
      <c r="N176" s="150"/>
      <c r="O176" s="151"/>
      <c r="P176" s="149"/>
      <c r="Q176" s="149" t="n">
        <f aca="false">R176+S176</f>
        <v>0</v>
      </c>
      <c r="R176" s="149"/>
      <c r="S176" s="15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17"/>
      <c r="B177" s="18"/>
      <c r="C177" s="18"/>
      <c r="D177" s="18"/>
      <c r="E177" s="128"/>
      <c r="F177" s="26" t="s">
        <v>246</v>
      </c>
      <c r="G177" s="152" t="s">
        <v>23</v>
      </c>
      <c r="H177" s="174" t="n">
        <v>4</v>
      </c>
      <c r="I177" s="154"/>
      <c r="J177" s="154"/>
      <c r="K177" s="155"/>
      <c r="L177" s="155" t="n">
        <f aca="false">M177+N177</f>
        <v>0</v>
      </c>
      <c r="M177" s="155"/>
      <c r="N177" s="156"/>
      <c r="O177" s="157"/>
      <c r="P177" s="155"/>
      <c r="Q177" s="155" t="n">
        <f aca="false">R177+S177</f>
        <v>0</v>
      </c>
      <c r="R177" s="155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.75" hidden="false" customHeight="true" outlineLevel="0" collapsed="false">
      <c r="A178" s="33"/>
      <c r="B178" s="34" t="s">
        <v>125</v>
      </c>
      <c r="C178" s="35" t="s">
        <v>33</v>
      </c>
      <c r="D178" s="35" t="s">
        <v>126</v>
      </c>
      <c r="E178" s="35" t="s">
        <v>127</v>
      </c>
      <c r="F178" s="36"/>
      <c r="G178" s="158" t="s">
        <v>22</v>
      </c>
      <c r="H178" s="159" t="n">
        <v>6</v>
      </c>
      <c r="I178" s="160" t="n">
        <v>3</v>
      </c>
      <c r="J178" s="160" t="n">
        <v>3</v>
      </c>
      <c r="K178" s="161" t="n">
        <v>4665.42</v>
      </c>
      <c r="L178" s="161" t="n">
        <f aca="false">M178+N178</f>
        <v>0</v>
      </c>
      <c r="M178" s="161"/>
      <c r="N178" s="162"/>
      <c r="O178" s="163" t="n">
        <v>8</v>
      </c>
      <c r="P178" s="161" t="n">
        <v>21247.68</v>
      </c>
      <c r="Q178" s="161" t="n">
        <f aca="false">R178+S178</f>
        <v>11500.86</v>
      </c>
      <c r="R178" s="161" t="n">
        <v>11500.86</v>
      </c>
      <c r="S178" s="16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/>
      <c r="G179" s="164" t="s">
        <v>23</v>
      </c>
      <c r="H179" s="171" t="n">
        <v>26</v>
      </c>
      <c r="I179" s="165" t="n">
        <v>3</v>
      </c>
      <c r="J179" s="165" t="n">
        <v>3</v>
      </c>
      <c r="K179" s="166" t="n">
        <v>7752.8</v>
      </c>
      <c r="L179" s="166" t="n">
        <v>1938.2</v>
      </c>
      <c r="M179" s="166" t="n">
        <v>1938.2</v>
      </c>
      <c r="N179" s="167"/>
      <c r="O179" s="168" t="n">
        <v>9</v>
      </c>
      <c r="P179" s="166" t="n">
        <v>28054.84</v>
      </c>
      <c r="Q179" s="166" t="n">
        <v>1409.6</v>
      </c>
      <c r="R179" s="166" t="n">
        <v>1409.6</v>
      </c>
      <c r="S179" s="167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128</v>
      </c>
      <c r="C180" s="19" t="s">
        <v>20</v>
      </c>
      <c r="D180" s="19"/>
      <c r="E180" s="19" t="s">
        <v>25</v>
      </c>
      <c r="F180" s="20"/>
      <c r="G180" s="146" t="s">
        <v>22</v>
      </c>
      <c r="H180" s="159" t="n">
        <v>14</v>
      </c>
      <c r="I180" s="148" t="n">
        <v>7</v>
      </c>
      <c r="J180" s="148" t="n">
        <v>7</v>
      </c>
      <c r="K180" s="149" t="n">
        <v>5466.2</v>
      </c>
      <c r="L180" s="149" t="n">
        <f aca="false">M180+N180</f>
        <v>1708.7</v>
      </c>
      <c r="M180" s="149" t="n">
        <v>1708.7</v>
      </c>
      <c r="N180" s="150"/>
      <c r="O180" s="151" t="n">
        <v>10</v>
      </c>
      <c r="P180" s="149" t="n">
        <v>21063.92</v>
      </c>
      <c r="Q180" s="149" t="n">
        <f aca="false">R180+S180</f>
        <v>5312.27</v>
      </c>
      <c r="R180" s="149" t="n">
        <v>5312.27</v>
      </c>
      <c r="S180" s="15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71"/>
      <c r="G181" s="164" t="s">
        <v>26</v>
      </c>
      <c r="H181" s="175"/>
      <c r="I181" s="165"/>
      <c r="J181" s="165"/>
      <c r="K181" s="166"/>
      <c r="L181" s="166" t="n">
        <f aca="false">M181+N181</f>
        <v>0</v>
      </c>
      <c r="M181" s="166"/>
      <c r="N181" s="167"/>
      <c r="O181" s="168"/>
      <c r="P181" s="166"/>
      <c r="Q181" s="166" t="n">
        <f aca="false">R181+S181</f>
        <v>0</v>
      </c>
      <c r="R181" s="166"/>
      <c r="S181" s="167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17"/>
      <c r="B182" s="18" t="s">
        <v>227</v>
      </c>
      <c r="C182" s="19"/>
      <c r="D182" s="19"/>
      <c r="E182" s="19"/>
      <c r="F182" s="20"/>
      <c r="G182" s="204" t="s">
        <v>22</v>
      </c>
      <c r="H182" s="205" t="n">
        <v>1</v>
      </c>
      <c r="I182" s="148"/>
      <c r="J182" s="148"/>
      <c r="K182" s="149"/>
      <c r="L182" s="149" t="n">
        <f aca="false">M182+N182</f>
        <v>0</v>
      </c>
      <c r="M182" s="149"/>
      <c r="N182" s="150"/>
      <c r="O182" s="206"/>
      <c r="P182" s="149"/>
      <c r="Q182" s="149" t="n">
        <f aca="false">R182+S182</f>
        <v>0</v>
      </c>
      <c r="R182" s="149"/>
      <c r="S182" s="15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57"/>
      <c r="G183" s="207" t="s">
        <v>26</v>
      </c>
      <c r="H183" s="208"/>
      <c r="I183" s="154"/>
      <c r="J183" s="154"/>
      <c r="K183" s="155"/>
      <c r="L183" s="155" t="n">
        <f aca="false">M183+N183</f>
        <v>0</v>
      </c>
      <c r="M183" s="155"/>
      <c r="N183" s="156"/>
      <c r="O183" s="209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33"/>
      <c r="B184" s="34" t="s">
        <v>129</v>
      </c>
      <c r="C184" s="35" t="s">
        <v>38</v>
      </c>
      <c r="D184" s="35" t="s">
        <v>130</v>
      </c>
      <c r="E184" s="35" t="s">
        <v>25</v>
      </c>
      <c r="F184" s="36"/>
      <c r="G184" s="158" t="s">
        <v>22</v>
      </c>
      <c r="H184" s="159" t="n">
        <v>6</v>
      </c>
      <c r="I184" s="160" t="n">
        <v>5</v>
      </c>
      <c r="J184" s="160" t="n">
        <v>5</v>
      </c>
      <c r="K184" s="161" t="n">
        <v>3147.73</v>
      </c>
      <c r="L184" s="161" t="n">
        <f aca="false">M184+N184</f>
        <v>0</v>
      </c>
      <c r="M184" s="161"/>
      <c r="N184" s="162"/>
      <c r="O184" s="163" t="n">
        <v>2</v>
      </c>
      <c r="P184" s="161" t="n">
        <v>44463.45</v>
      </c>
      <c r="Q184" s="161" t="n">
        <f aca="false">R184+S184</f>
        <v>0</v>
      </c>
      <c r="R184" s="161"/>
      <c r="S184" s="16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33"/>
      <c r="B185" s="34"/>
      <c r="C185" s="34"/>
      <c r="D185" s="34"/>
      <c r="E185" s="34"/>
      <c r="F185" s="42" t="s">
        <v>209</v>
      </c>
      <c r="G185" s="164" t="s">
        <v>26</v>
      </c>
      <c r="H185" s="153" t="n">
        <v>1</v>
      </c>
      <c r="I185" s="165"/>
      <c r="J185" s="165"/>
      <c r="K185" s="166"/>
      <c r="L185" s="166" t="n">
        <v>1762</v>
      </c>
      <c r="M185" s="166" t="n">
        <v>1762</v>
      </c>
      <c r="N185" s="167"/>
      <c r="O185" s="168" t="n">
        <v>7</v>
      </c>
      <c r="P185" s="166" t="n">
        <v>20590.6</v>
      </c>
      <c r="Q185" s="166" t="n">
        <f aca="false">R185+S185</f>
        <v>0</v>
      </c>
      <c r="R185" s="166"/>
      <c r="S185" s="167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6.5" hidden="false" customHeight="true" outlineLevel="0" collapsed="false">
      <c r="A186" s="17"/>
      <c r="B186" s="18" t="s">
        <v>131</v>
      </c>
      <c r="C186" s="19" t="s">
        <v>38</v>
      </c>
      <c r="D186" s="19" t="s">
        <v>130</v>
      </c>
      <c r="E186" s="19" t="s">
        <v>25</v>
      </c>
      <c r="F186" s="20"/>
      <c r="G186" s="146" t="s">
        <v>22</v>
      </c>
      <c r="H186" s="159" t="n">
        <v>7</v>
      </c>
      <c r="I186" s="148" t="n">
        <v>6</v>
      </c>
      <c r="J186" s="148" t="n">
        <v>8</v>
      </c>
      <c r="K186" s="149" t="n">
        <v>17098</v>
      </c>
      <c r="L186" s="149" t="n">
        <f aca="false">M186+N186</f>
        <v>5349.43</v>
      </c>
      <c r="M186" s="149" t="n">
        <v>5349.43</v>
      </c>
      <c r="N186" s="150"/>
      <c r="O186" s="151" t="n">
        <v>7</v>
      </c>
      <c r="P186" s="149" t="n">
        <v>40829.73</v>
      </c>
      <c r="Q186" s="149" t="n">
        <f aca="false">R186+S186</f>
        <v>1920.58</v>
      </c>
      <c r="R186" s="149" t="n">
        <v>1920.58</v>
      </c>
      <c r="S186" s="15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6.5" hidden="false" customHeight="true" outlineLevel="0" collapsed="false">
      <c r="A187" s="17"/>
      <c r="B187" s="18"/>
      <c r="C187" s="18"/>
      <c r="D187" s="18"/>
      <c r="E187" s="18"/>
      <c r="F187" s="26" t="s">
        <v>210</v>
      </c>
      <c r="G187" s="152" t="s">
        <v>26</v>
      </c>
      <c r="H187" s="153" t="n">
        <v>2</v>
      </c>
      <c r="I187" s="154" t="n">
        <v>2</v>
      </c>
      <c r="J187" s="154" t="n">
        <v>2</v>
      </c>
      <c r="K187" s="155" t="n">
        <v>1585.8</v>
      </c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210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6.5" hidden="false" customHeight="true" outlineLevel="0" collapsed="false">
      <c r="A188" s="33"/>
      <c r="B188" s="34" t="s">
        <v>132</v>
      </c>
      <c r="C188" s="35" t="s">
        <v>20</v>
      </c>
      <c r="D188" s="35"/>
      <c r="E188" s="35" t="s">
        <v>69</v>
      </c>
      <c r="F188" s="38"/>
      <c r="G188" s="146" t="s">
        <v>22</v>
      </c>
      <c r="H188" s="159" t="n">
        <v>6</v>
      </c>
      <c r="I188" s="160" t="n">
        <v>2</v>
      </c>
      <c r="J188" s="160" t="n">
        <v>2</v>
      </c>
      <c r="K188" s="161" t="n">
        <v>1973.48</v>
      </c>
      <c r="L188" s="161" t="n">
        <f aca="false">M188+N188</f>
        <v>1973.48</v>
      </c>
      <c r="M188" s="161" t="n">
        <v>1973.48</v>
      </c>
      <c r="N188" s="162"/>
      <c r="O188" s="163" t="n">
        <v>7</v>
      </c>
      <c r="P188" s="161" t="n">
        <v>18159.55</v>
      </c>
      <c r="Q188" s="161" t="n">
        <f aca="false">R188+S188</f>
        <v>28827.93</v>
      </c>
      <c r="R188" s="161" t="n">
        <v>28827.93</v>
      </c>
      <c r="S188" s="16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6.5" hidden="false" customHeight="true" outlineLevel="0" collapsed="false">
      <c r="A189" s="33"/>
      <c r="B189" s="34"/>
      <c r="C189" s="34"/>
      <c r="D189" s="34"/>
      <c r="E189" s="34"/>
      <c r="F189" s="42" t="s">
        <v>211</v>
      </c>
      <c r="G189" s="164" t="s">
        <v>26</v>
      </c>
      <c r="H189" s="153" t="n">
        <v>5</v>
      </c>
      <c r="I189" s="165"/>
      <c r="J189" s="165"/>
      <c r="K189" s="166"/>
      <c r="L189" s="166" t="n">
        <f aca="false">M189+N189</f>
        <v>0</v>
      </c>
      <c r="M189" s="166"/>
      <c r="N189" s="167"/>
      <c r="O189" s="168"/>
      <c r="P189" s="166"/>
      <c r="Q189" s="166" t="n">
        <f aca="false">R189+S189</f>
        <v>0</v>
      </c>
      <c r="R189" s="166"/>
      <c r="S189" s="167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6.5" hidden="false" customHeight="true" outlineLevel="0" collapsed="false">
      <c r="A190" s="72"/>
      <c r="B190" s="73" t="s">
        <v>133</v>
      </c>
      <c r="C190" s="74" t="s">
        <v>20</v>
      </c>
      <c r="D190" s="74"/>
      <c r="E190" s="74" t="s">
        <v>25</v>
      </c>
      <c r="F190" s="22"/>
      <c r="G190" s="146" t="s">
        <v>22</v>
      </c>
      <c r="H190" s="159" t="n">
        <v>1</v>
      </c>
      <c r="I190" s="148" t="n">
        <v>1</v>
      </c>
      <c r="J190" s="148" t="n">
        <v>1</v>
      </c>
      <c r="K190" s="149" t="n">
        <v>2784.03</v>
      </c>
      <c r="L190" s="149" t="n">
        <f aca="false">M190+N190</f>
        <v>0</v>
      </c>
      <c r="M190" s="149"/>
      <c r="N190" s="150"/>
      <c r="O190" s="151" t="n">
        <v>1</v>
      </c>
      <c r="P190" s="149" t="n">
        <v>2166.76</v>
      </c>
      <c r="Q190" s="149" t="n">
        <f aca="false">R190+S190</f>
        <v>2163.03</v>
      </c>
      <c r="R190" s="149" t="n">
        <v>2163.03</v>
      </c>
      <c r="S190" s="15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6.5" hidden="false" customHeight="true" outlineLevel="0" collapsed="false">
      <c r="A191" s="72"/>
      <c r="B191" s="73"/>
      <c r="C191" s="73"/>
      <c r="D191" s="73"/>
      <c r="E191" s="73"/>
      <c r="F191" s="42" t="s">
        <v>212</v>
      </c>
      <c r="G191" s="164" t="s">
        <v>26</v>
      </c>
      <c r="H191" s="171" t="n">
        <v>4</v>
      </c>
      <c r="I191" s="165" t="n">
        <v>1</v>
      </c>
      <c r="J191" s="165" t="n">
        <v>1</v>
      </c>
      <c r="K191" s="166" t="n">
        <v>1409.6</v>
      </c>
      <c r="L191" s="166" t="n">
        <f aca="false">M191+N191</f>
        <v>0</v>
      </c>
      <c r="M191" s="166"/>
      <c r="N191" s="167"/>
      <c r="O191" s="168"/>
      <c r="P191" s="166"/>
      <c r="Q191" s="166" t="n">
        <f aca="false">R191+S191</f>
        <v>0</v>
      </c>
      <c r="R191" s="166"/>
      <c r="S191" s="167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6.5" hidden="false" customHeight="true" outlineLevel="0" collapsed="false">
      <c r="A192" s="72"/>
      <c r="B192" s="73" t="s">
        <v>134</v>
      </c>
      <c r="C192" s="74" t="s">
        <v>20</v>
      </c>
      <c r="D192" s="74"/>
      <c r="E192" s="74" t="s">
        <v>25</v>
      </c>
      <c r="F192" s="20"/>
      <c r="G192" s="146" t="s">
        <v>22</v>
      </c>
      <c r="H192" s="169"/>
      <c r="I192" s="148"/>
      <c r="J192" s="148"/>
      <c r="K192" s="149"/>
      <c r="L192" s="149" t="n">
        <f aca="false">M192+N192</f>
        <v>0</v>
      </c>
      <c r="M192" s="149"/>
      <c r="N192" s="150"/>
      <c r="O192" s="151" t="n">
        <v>1</v>
      </c>
      <c r="P192" s="149" t="n">
        <v>11981.6</v>
      </c>
      <c r="Q192" s="149" t="n">
        <f aca="false">R192+S192</f>
        <v>0</v>
      </c>
      <c r="R192" s="149"/>
      <c r="S192" s="15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72"/>
      <c r="B193" s="73"/>
      <c r="C193" s="73"/>
      <c r="D193" s="73"/>
      <c r="E193" s="73"/>
      <c r="F193" s="42" t="s">
        <v>213</v>
      </c>
      <c r="G193" s="164" t="s">
        <v>26</v>
      </c>
      <c r="H193" s="153" t="n">
        <v>1</v>
      </c>
      <c r="I193" s="165"/>
      <c r="J193" s="165"/>
      <c r="K193" s="166"/>
      <c r="L193" s="166" t="n">
        <f aca="false">M193+N193</f>
        <v>0</v>
      </c>
      <c r="M193" s="166"/>
      <c r="N193" s="167"/>
      <c r="O193" s="168" t="n">
        <v>2</v>
      </c>
      <c r="P193" s="166" t="n">
        <v>12034.75</v>
      </c>
      <c r="Q193" s="166" t="n">
        <f aca="false">R193+S193</f>
        <v>0</v>
      </c>
      <c r="R193" s="166"/>
      <c r="S193" s="167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" hidden="false" customHeight="true" outlineLevel="0" collapsed="false">
      <c r="A194" s="17"/>
      <c r="B194" s="18" t="s">
        <v>135</v>
      </c>
      <c r="C194" s="19" t="s">
        <v>20</v>
      </c>
      <c r="D194" s="19"/>
      <c r="E194" s="19" t="s">
        <v>69</v>
      </c>
      <c r="F194" s="22"/>
      <c r="G194" s="146" t="s">
        <v>22</v>
      </c>
      <c r="H194" s="159" t="n">
        <v>6</v>
      </c>
      <c r="I194" s="148" t="n">
        <v>2</v>
      </c>
      <c r="J194" s="148" t="n">
        <v>2</v>
      </c>
      <c r="K194" s="149" t="n">
        <v>2995.4</v>
      </c>
      <c r="L194" s="149" t="n">
        <f aca="false">M194+N194</f>
        <v>2995.4</v>
      </c>
      <c r="M194" s="149" t="n">
        <v>2995.4</v>
      </c>
      <c r="N194" s="150"/>
      <c r="O194" s="151" t="n">
        <v>3</v>
      </c>
      <c r="P194" s="149" t="n">
        <v>14331.8</v>
      </c>
      <c r="Q194" s="149" t="n">
        <f aca="false">R194+S194</f>
        <v>14331.8</v>
      </c>
      <c r="R194" s="149" t="n">
        <v>14331.8</v>
      </c>
      <c r="S194" s="15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26"/>
      <c r="G195" s="152" t="s">
        <v>26</v>
      </c>
      <c r="H195" s="171" t="n">
        <v>2</v>
      </c>
      <c r="I195" s="154"/>
      <c r="J195" s="154"/>
      <c r="K195" s="155"/>
      <c r="L195" s="155" t="n">
        <f aca="false">M195+N195</f>
        <v>0</v>
      </c>
      <c r="M195" s="155"/>
      <c r="N195" s="156"/>
      <c r="O195" s="157" t="n">
        <v>1</v>
      </c>
      <c r="P195" s="155" t="n">
        <v>792.9</v>
      </c>
      <c r="Q195" s="155" t="n">
        <f aca="false">R195+S195</f>
        <v>0</v>
      </c>
      <c r="R195" s="155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33"/>
      <c r="B196" s="34" t="s">
        <v>136</v>
      </c>
      <c r="C196" s="35" t="s">
        <v>20</v>
      </c>
      <c r="D196" s="35"/>
      <c r="E196" s="35" t="s">
        <v>98</v>
      </c>
      <c r="F196" s="36"/>
      <c r="G196" s="146" t="s">
        <v>22</v>
      </c>
      <c r="H196" s="159" t="n">
        <v>10</v>
      </c>
      <c r="I196" s="160" t="n">
        <v>8</v>
      </c>
      <c r="J196" s="160" t="n">
        <v>9</v>
      </c>
      <c r="K196" s="161" t="n">
        <v>9028.51</v>
      </c>
      <c r="L196" s="161" t="n">
        <f aca="false">M196+N196</f>
        <v>7070.9</v>
      </c>
      <c r="M196" s="161" t="n">
        <v>7070.9</v>
      </c>
      <c r="N196" s="162"/>
      <c r="O196" s="163" t="n">
        <v>9</v>
      </c>
      <c r="P196" s="161" t="n">
        <v>14877.54</v>
      </c>
      <c r="Q196" s="161" t="n">
        <f aca="false">R196+S196</f>
        <v>11139.63</v>
      </c>
      <c r="R196" s="161" t="n">
        <v>11139.63</v>
      </c>
      <c r="S196" s="16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33"/>
      <c r="B197" s="34"/>
      <c r="C197" s="34"/>
      <c r="D197" s="34"/>
      <c r="E197" s="34"/>
      <c r="F197" s="42" t="s">
        <v>247</v>
      </c>
      <c r="G197" s="164" t="s">
        <v>23</v>
      </c>
      <c r="H197" s="171" t="n">
        <v>5</v>
      </c>
      <c r="I197" s="165"/>
      <c r="J197" s="165"/>
      <c r="K197" s="166"/>
      <c r="L197" s="166" t="n">
        <f aca="false">M197+N197</f>
        <v>0</v>
      </c>
      <c r="M197" s="166"/>
      <c r="N197" s="167"/>
      <c r="O197" s="168" t="n">
        <v>3</v>
      </c>
      <c r="P197" s="166" t="n">
        <v>1585.8</v>
      </c>
      <c r="Q197" s="166" t="n">
        <f aca="false">R197+S197</f>
        <v>0</v>
      </c>
      <c r="R197" s="166"/>
      <c r="S197" s="167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137</v>
      </c>
      <c r="C198" s="19" t="s">
        <v>20</v>
      </c>
      <c r="D198" s="19"/>
      <c r="E198" s="19" t="s">
        <v>25</v>
      </c>
      <c r="F198" s="20"/>
      <c r="G198" s="146" t="s">
        <v>22</v>
      </c>
      <c r="H198" s="169"/>
      <c r="I198" s="148"/>
      <c r="J198" s="148"/>
      <c r="K198" s="149"/>
      <c r="L198" s="149" t="n">
        <f aca="false">M198+N198</f>
        <v>0</v>
      </c>
      <c r="M198" s="149"/>
      <c r="N198" s="150"/>
      <c r="O198" s="151"/>
      <c r="P198" s="149"/>
      <c r="Q198" s="149" t="n">
        <f aca="false">R198+S198</f>
        <v>0</v>
      </c>
      <c r="R198" s="149"/>
      <c r="S198" s="15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20.25" hidden="false" customHeight="true" outlineLevel="0" collapsed="false">
      <c r="A199" s="17"/>
      <c r="B199" s="18"/>
      <c r="C199" s="18"/>
      <c r="D199" s="18"/>
      <c r="E199" s="18"/>
      <c r="F199" s="26"/>
      <c r="G199" s="152" t="s">
        <v>26</v>
      </c>
      <c r="H199" s="153" t="n">
        <v>6</v>
      </c>
      <c r="I199" s="154"/>
      <c r="J199" s="154"/>
      <c r="K199" s="155"/>
      <c r="L199" s="155" t="n">
        <f aca="false">M199+N199</f>
        <v>0</v>
      </c>
      <c r="M199" s="155"/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54"/>
      <c r="B200" s="55" t="s">
        <v>138</v>
      </c>
      <c r="C200" s="56" t="s">
        <v>33</v>
      </c>
      <c r="D200" s="56" t="s">
        <v>139</v>
      </c>
      <c r="E200" s="56" t="s">
        <v>25</v>
      </c>
      <c r="F200" s="36"/>
      <c r="G200" s="146" t="s">
        <v>22</v>
      </c>
      <c r="H200" s="169"/>
      <c r="I200" s="160"/>
      <c r="J200" s="160"/>
      <c r="K200" s="161"/>
      <c r="L200" s="161" t="n">
        <f aca="false">M200+N200</f>
        <v>0</v>
      </c>
      <c r="M200" s="161"/>
      <c r="N200" s="162"/>
      <c r="O200" s="163"/>
      <c r="P200" s="161"/>
      <c r="Q200" s="161" t="n">
        <f aca="false">R200+S200</f>
        <v>0</v>
      </c>
      <c r="R200" s="161"/>
      <c r="S200" s="16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54"/>
      <c r="B201" s="55"/>
      <c r="C201" s="55"/>
      <c r="D201" s="55"/>
      <c r="E201" s="55"/>
      <c r="F201" s="26" t="s">
        <v>214</v>
      </c>
      <c r="G201" s="152" t="s">
        <v>26</v>
      </c>
      <c r="H201" s="171" t="n">
        <v>4</v>
      </c>
      <c r="I201" s="154" t="n">
        <v>1</v>
      </c>
      <c r="J201" s="154" t="n">
        <v>1</v>
      </c>
      <c r="K201" s="155" t="n">
        <v>2466.8</v>
      </c>
      <c r="L201" s="155" t="n">
        <f aca="false">M201+N201</f>
        <v>0</v>
      </c>
      <c r="M201" s="155"/>
      <c r="N201" s="156"/>
      <c r="O201" s="157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33"/>
      <c r="B202" s="34" t="s">
        <v>140</v>
      </c>
      <c r="C202" s="35" t="s">
        <v>20</v>
      </c>
      <c r="D202" s="35"/>
      <c r="E202" s="35" t="s">
        <v>141</v>
      </c>
      <c r="F202" s="36"/>
      <c r="G202" s="146" t="s">
        <v>22</v>
      </c>
      <c r="H202" s="159" t="n">
        <v>3</v>
      </c>
      <c r="I202" s="160" t="n">
        <v>1</v>
      </c>
      <c r="J202" s="160" t="n">
        <v>1</v>
      </c>
      <c r="K202" s="161" t="n">
        <v>1046.63</v>
      </c>
      <c r="L202" s="161" t="n">
        <f aca="false">M202+N202</f>
        <v>0</v>
      </c>
      <c r="M202" s="161"/>
      <c r="N202" s="162"/>
      <c r="O202" s="163" t="n">
        <v>4</v>
      </c>
      <c r="P202" s="161" t="n">
        <v>11060.43</v>
      </c>
      <c r="Q202" s="161" t="n">
        <f aca="false">R202+S202</f>
        <v>0</v>
      </c>
      <c r="R202" s="161"/>
      <c r="S202" s="16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33"/>
      <c r="B203" s="34"/>
      <c r="C203" s="34"/>
      <c r="D203" s="34"/>
      <c r="E203" s="34"/>
      <c r="F203" s="42" t="s">
        <v>215</v>
      </c>
      <c r="G203" s="164" t="s">
        <v>26</v>
      </c>
      <c r="H203" s="153"/>
      <c r="I203" s="165"/>
      <c r="J203" s="165"/>
      <c r="K203" s="166"/>
      <c r="L203" s="166" t="n">
        <f aca="false">M203+N203</f>
        <v>0</v>
      </c>
      <c r="M203" s="166"/>
      <c r="N203" s="167"/>
      <c r="O203" s="16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142</v>
      </c>
      <c r="C204" s="19" t="s">
        <v>20</v>
      </c>
      <c r="D204" s="19"/>
      <c r="E204" s="19" t="s">
        <v>25</v>
      </c>
      <c r="F204" s="20"/>
      <c r="G204" s="146" t="s">
        <v>22</v>
      </c>
      <c r="H204" s="159" t="n">
        <v>4</v>
      </c>
      <c r="I204" s="148" t="n">
        <v>3</v>
      </c>
      <c r="J204" s="148" t="n">
        <v>3</v>
      </c>
      <c r="K204" s="149" t="n">
        <v>1656.28</v>
      </c>
      <c r="L204" s="149" t="n">
        <f aca="false">M204+N204</f>
        <v>1656.28</v>
      </c>
      <c r="M204" s="149" t="n">
        <v>1656.28</v>
      </c>
      <c r="N204" s="150"/>
      <c r="O204" s="151" t="n">
        <v>1</v>
      </c>
      <c r="P204" s="149" t="n">
        <v>523.31</v>
      </c>
      <c r="Q204" s="149" t="n">
        <f aca="false">R204+S204</f>
        <v>3342.51</v>
      </c>
      <c r="R204" s="149" t="n">
        <v>3342.51</v>
      </c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216</v>
      </c>
      <c r="G205" s="152" t="s">
        <v>26</v>
      </c>
      <c r="H205" s="171" t="n">
        <v>5</v>
      </c>
      <c r="I205" s="154" t="n">
        <v>2</v>
      </c>
      <c r="J205" s="154" t="n">
        <v>2</v>
      </c>
      <c r="K205" s="155" t="n">
        <v>5286</v>
      </c>
      <c r="L205" s="155" t="n">
        <v>528.6</v>
      </c>
      <c r="M205" s="155" t="n">
        <v>528.6</v>
      </c>
      <c r="N205" s="156"/>
      <c r="O205" s="157" t="n">
        <v>5</v>
      </c>
      <c r="P205" s="155" t="n">
        <v>5814.6</v>
      </c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143</v>
      </c>
      <c r="C206" s="35" t="s">
        <v>20</v>
      </c>
      <c r="D206" s="35"/>
      <c r="E206" s="35" t="s">
        <v>25</v>
      </c>
      <c r="F206" s="36"/>
      <c r="G206" s="146" t="s">
        <v>22</v>
      </c>
      <c r="H206" s="169"/>
      <c r="I206" s="160"/>
      <c r="J206" s="160"/>
      <c r="K206" s="161"/>
      <c r="L206" s="161" t="n">
        <f aca="false">M206+N206</f>
        <v>0</v>
      </c>
      <c r="M206" s="161"/>
      <c r="N206" s="162"/>
      <c r="O206" s="163" t="n">
        <v>1</v>
      </c>
      <c r="P206" s="161" t="n">
        <v>1515.67</v>
      </c>
      <c r="Q206" s="161" t="n">
        <f aca="false">R206+S206</f>
        <v>0</v>
      </c>
      <c r="R206" s="161"/>
      <c r="S206" s="16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217</v>
      </c>
      <c r="G207" s="164" t="s">
        <v>26</v>
      </c>
      <c r="H207" s="171" t="n">
        <v>4</v>
      </c>
      <c r="I207" s="165"/>
      <c r="J207" s="165"/>
      <c r="K207" s="166"/>
      <c r="L207" s="166" t="n">
        <f aca="false">M207+N207</f>
        <v>0</v>
      </c>
      <c r="M207" s="166"/>
      <c r="N207" s="167"/>
      <c r="O207" s="168" t="n">
        <v>5</v>
      </c>
      <c r="P207" s="166" t="n">
        <v>34775.2</v>
      </c>
      <c r="Q207" s="166" t="n">
        <f aca="false">R207+S207</f>
        <v>0</v>
      </c>
      <c r="R207" s="166"/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144</v>
      </c>
      <c r="C208" s="19" t="s">
        <v>20</v>
      </c>
      <c r="D208" s="19"/>
      <c r="E208" s="19" t="s">
        <v>81</v>
      </c>
      <c r="F208" s="20"/>
      <c r="G208" s="146" t="s">
        <v>22</v>
      </c>
      <c r="H208" s="159" t="n">
        <v>4</v>
      </c>
      <c r="I208" s="148" t="n">
        <v>3</v>
      </c>
      <c r="J208" s="148" t="n">
        <v>3</v>
      </c>
      <c r="K208" s="149" t="n">
        <v>2096.78</v>
      </c>
      <c r="L208" s="149" t="n">
        <f aca="false">M208+N208</f>
        <v>0</v>
      </c>
      <c r="M208" s="149"/>
      <c r="N208" s="150"/>
      <c r="O208" s="151" t="n">
        <v>4</v>
      </c>
      <c r="P208" s="149" t="n">
        <v>3636.77</v>
      </c>
      <c r="Q208" s="149" t="n">
        <f aca="false">R208+S208</f>
        <v>0</v>
      </c>
      <c r="R208" s="149"/>
      <c r="S208" s="15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 t="s">
        <v>218</v>
      </c>
      <c r="G209" s="152" t="s">
        <v>26</v>
      </c>
      <c r="H209" s="171" t="n">
        <v>6</v>
      </c>
      <c r="I209" s="154"/>
      <c r="J209" s="154"/>
      <c r="K209" s="155"/>
      <c r="L209" s="155" t="n">
        <f aca="false">M209+N209</f>
        <v>0</v>
      </c>
      <c r="M209" s="155"/>
      <c r="N209" s="156"/>
      <c r="O209" s="157" t="n">
        <v>2</v>
      </c>
      <c r="P209" s="155" t="n">
        <v>4493.1</v>
      </c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" hidden="false" customHeight="true" outlineLevel="0" collapsed="false">
      <c r="A210" s="33"/>
      <c r="B210" s="34" t="s">
        <v>145</v>
      </c>
      <c r="C210" s="35" t="s">
        <v>20</v>
      </c>
      <c r="D210" s="35"/>
      <c r="E210" s="35" t="s">
        <v>98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62"/>
      <c r="O210" s="163"/>
      <c r="P210" s="161"/>
      <c r="Q210" s="161" t="n">
        <f aca="false">R210+S210</f>
        <v>0</v>
      </c>
      <c r="R210" s="161"/>
      <c r="S210" s="16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71"/>
      <c r="G211" s="164" t="s">
        <v>23</v>
      </c>
      <c r="H211" s="153"/>
      <c r="I211" s="165"/>
      <c r="J211" s="165"/>
      <c r="K211" s="166"/>
      <c r="L211" s="166" t="n">
        <f aca="false">M211+N211</f>
        <v>0</v>
      </c>
      <c r="M211" s="166"/>
      <c r="N211" s="167"/>
      <c r="O211" s="168"/>
      <c r="P211" s="166"/>
      <c r="Q211" s="166" t="n">
        <f aca="false">R211+S211</f>
        <v>0</v>
      </c>
      <c r="R211" s="166"/>
      <c r="S211" s="167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17"/>
      <c r="B212" s="18" t="s">
        <v>146</v>
      </c>
      <c r="C212" s="19" t="s">
        <v>20</v>
      </c>
      <c r="D212" s="19"/>
      <c r="E212" s="19" t="s">
        <v>25</v>
      </c>
      <c r="F212" s="22"/>
      <c r="G212" s="146" t="s">
        <v>22</v>
      </c>
      <c r="H212" s="159" t="n">
        <v>4</v>
      </c>
      <c r="I212" s="148" t="n">
        <v>3</v>
      </c>
      <c r="J212" s="148" t="n">
        <v>3</v>
      </c>
      <c r="K212" s="149" t="n">
        <v>1409.6</v>
      </c>
      <c r="L212" s="149" t="n">
        <f aca="false">M212+N212</f>
        <v>352.4</v>
      </c>
      <c r="M212" s="149" t="n">
        <v>352.4</v>
      </c>
      <c r="N212" s="150"/>
      <c r="O212" s="151"/>
      <c r="P212" s="149"/>
      <c r="Q212" s="149" t="n">
        <f aca="false">R212+S212</f>
        <v>1546.68</v>
      </c>
      <c r="R212" s="149" t="n">
        <v>1546.68</v>
      </c>
      <c r="S212" s="15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17"/>
      <c r="B213" s="18"/>
      <c r="C213" s="18"/>
      <c r="D213" s="18"/>
      <c r="E213" s="18"/>
      <c r="F213" s="26" t="s">
        <v>219</v>
      </c>
      <c r="G213" s="152" t="s">
        <v>26</v>
      </c>
      <c r="H213" s="153"/>
      <c r="I213" s="154"/>
      <c r="J213" s="154"/>
      <c r="K213" s="155"/>
      <c r="L213" s="155" t="n">
        <v>1585.8</v>
      </c>
      <c r="M213" s="155" t="n">
        <v>1585.8</v>
      </c>
      <c r="N213" s="156"/>
      <c r="O213" s="157" t="n">
        <v>1</v>
      </c>
      <c r="P213" s="155"/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147</v>
      </c>
      <c r="C214" s="56" t="s">
        <v>20</v>
      </c>
      <c r="D214" s="56"/>
      <c r="E214" s="56" t="s">
        <v>25</v>
      </c>
      <c r="F214" s="97"/>
      <c r="G214" s="146" t="s">
        <v>22</v>
      </c>
      <c r="H214" s="159" t="n">
        <v>3</v>
      </c>
      <c r="I214" s="160" t="n">
        <v>3</v>
      </c>
      <c r="J214" s="160" t="n">
        <v>3</v>
      </c>
      <c r="K214" s="161" t="n">
        <v>2093.26</v>
      </c>
      <c r="L214" s="161" t="n">
        <f aca="false">M214+N214</f>
        <v>0</v>
      </c>
      <c r="M214" s="161"/>
      <c r="N214" s="162"/>
      <c r="O214" s="163" t="n">
        <v>3</v>
      </c>
      <c r="P214" s="161" t="n">
        <v>14266.03</v>
      </c>
      <c r="Q214" s="161" t="n">
        <f aca="false">R214+S214</f>
        <v>0</v>
      </c>
      <c r="R214" s="161"/>
      <c r="S214" s="16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220</v>
      </c>
      <c r="G215" s="152" t="s">
        <v>26</v>
      </c>
      <c r="H215" s="171" t="n">
        <v>6</v>
      </c>
      <c r="I215" s="154" t="n">
        <v>1</v>
      </c>
      <c r="J215" s="154" t="n">
        <v>1</v>
      </c>
      <c r="K215" s="155" t="n">
        <v>6167</v>
      </c>
      <c r="L215" s="155" t="n">
        <v>528.6</v>
      </c>
      <c r="M215" s="155" t="n">
        <v>528.6</v>
      </c>
      <c r="N215" s="156"/>
      <c r="O215" s="157" t="n">
        <v>5</v>
      </c>
      <c r="P215" s="155" t="n">
        <v>13038.8</v>
      </c>
      <c r="Q215" s="155" t="n">
        <f aca="false">R215+S215</f>
        <v>0</v>
      </c>
      <c r="R215" s="155"/>
      <c r="S215" s="211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148</v>
      </c>
      <c r="C216" s="19" t="s">
        <v>20</v>
      </c>
      <c r="D216" s="19"/>
      <c r="E216" s="19" t="s">
        <v>21</v>
      </c>
      <c r="F216" s="22"/>
      <c r="G216" s="146" t="s">
        <v>22</v>
      </c>
      <c r="H216" s="159" t="n">
        <v>1</v>
      </c>
      <c r="I216" s="148" t="n">
        <v>1</v>
      </c>
      <c r="J216" s="148" t="n">
        <v>1</v>
      </c>
      <c r="K216" s="149" t="n">
        <v>436.1</v>
      </c>
      <c r="L216" s="149" t="n">
        <f aca="false">M216+N216</f>
        <v>0</v>
      </c>
      <c r="M216" s="149"/>
      <c r="N216" s="150"/>
      <c r="O216" s="151"/>
      <c r="P216" s="149"/>
      <c r="Q216" s="149" t="n">
        <f aca="false">R216+S216</f>
        <v>0</v>
      </c>
      <c r="R216" s="149"/>
      <c r="S216" s="15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248</v>
      </c>
      <c r="G217" s="152" t="s">
        <v>23</v>
      </c>
      <c r="H217" s="171" t="n">
        <v>2</v>
      </c>
      <c r="I217" s="154"/>
      <c r="J217" s="154"/>
      <c r="K217" s="155"/>
      <c r="L217" s="155" t="n">
        <f aca="false">M217+N217</f>
        <v>0</v>
      </c>
      <c r="M217" s="155"/>
      <c r="N217" s="156"/>
      <c r="O217" s="157" t="n">
        <v>1</v>
      </c>
      <c r="P217" s="155" t="n">
        <v>572.65</v>
      </c>
      <c r="Q217" s="155" t="n">
        <v>572.65</v>
      </c>
      <c r="R217" s="155" t="n">
        <v>572.65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99"/>
      <c r="B218" s="100" t="s">
        <v>149</v>
      </c>
      <c r="C218" s="100"/>
      <c r="D218" s="100"/>
      <c r="E218" s="100"/>
      <c r="F218" s="100"/>
      <c r="G218" s="212"/>
      <c r="H218" s="213" t="n">
        <f aca="false">SUM(H9:H217)</f>
        <v>755</v>
      </c>
      <c r="I218" s="214" t="n">
        <f aca="false">SUM(I9:I217)</f>
        <v>302</v>
      </c>
      <c r="J218" s="214" t="n">
        <f aca="false">SUM(J9:J217)</f>
        <v>321</v>
      </c>
      <c r="K218" s="215" t="n">
        <f aca="false">SUM(K9:K217)</f>
        <v>410335.71</v>
      </c>
      <c r="L218" s="215" t="n">
        <f aca="false">SUM(L9:L217)</f>
        <v>129270.38</v>
      </c>
      <c r="M218" s="215" t="n">
        <f aca="false">SUM(M9:M217)</f>
        <v>129270.38</v>
      </c>
      <c r="N218" s="215" t="n">
        <f aca="false">SUM(N9:N217)</f>
        <v>0</v>
      </c>
      <c r="O218" s="213" t="n">
        <f aca="false">SUM(O9:O217)</f>
        <v>492</v>
      </c>
      <c r="P218" s="215" t="n">
        <f aca="false">SUM(P9:P217)</f>
        <v>1332819.52</v>
      </c>
      <c r="Q218" s="215" t="n">
        <f aca="false">SUM(Q9:Q217)</f>
        <v>347405.15</v>
      </c>
      <c r="R218" s="215" t="n">
        <f aca="false">SUM(R9:R217)</f>
        <v>347405.15</v>
      </c>
      <c r="S218" s="215" t="n">
        <f aca="false">SUM(S9:S217)</f>
        <v>0</v>
      </c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I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" hidden="false" customHeight="true" outlineLevel="0" collapsed="false">
      <c r="A222" s="2"/>
      <c r="B222" s="2"/>
      <c r="C222" s="2"/>
      <c r="D222" s="2"/>
      <c r="E222" s="2"/>
      <c r="F222" s="103"/>
      <c r="G222" s="104" t="s">
        <v>5</v>
      </c>
      <c r="H222" s="104"/>
      <c r="I222" s="104"/>
      <c r="J222" s="104"/>
      <c r="K222" s="104"/>
      <c r="L222" s="104"/>
      <c r="M222" s="104"/>
      <c r="N222" s="104" t="s">
        <v>6</v>
      </c>
      <c r="O222" s="104"/>
      <c r="P222" s="104"/>
      <c r="Q222" s="104"/>
      <c r="R222" s="104"/>
      <c r="S222" s="105" t="s">
        <v>150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" hidden="false" customHeight="false" outlineLevel="0" collapsed="false">
      <c r="A223" s="2"/>
      <c r="B223" s="2"/>
      <c r="C223" s="2"/>
      <c r="D223" s="2"/>
      <c r="E223" s="2"/>
      <c r="F223" s="103"/>
      <c r="G223" s="106" t="s">
        <v>13</v>
      </c>
      <c r="H223" s="106" t="s">
        <v>14</v>
      </c>
      <c r="I223" s="106" t="s">
        <v>15</v>
      </c>
      <c r="J223" s="106" t="s">
        <v>226</v>
      </c>
      <c r="K223" s="106" t="s">
        <v>16</v>
      </c>
      <c r="L223" s="106" t="s">
        <v>17</v>
      </c>
      <c r="M223" s="106" t="s">
        <v>18</v>
      </c>
      <c r="N223" s="106" t="s">
        <v>15</v>
      </c>
      <c r="O223" s="106" t="s">
        <v>226</v>
      </c>
      <c r="P223" s="106" t="s">
        <v>16</v>
      </c>
      <c r="Q223" s="106" t="s">
        <v>17</v>
      </c>
      <c r="R223" s="106" t="s">
        <v>18</v>
      </c>
      <c r="S223" s="105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false" outlineLevel="0" collapsed="false">
      <c r="A224" s="2"/>
      <c r="B224" s="2"/>
      <c r="C224" s="2"/>
      <c r="D224" s="2"/>
      <c r="E224" s="2"/>
      <c r="F224" s="107" t="s">
        <v>22</v>
      </c>
      <c r="G224" s="108" t="n">
        <f aca="false">SUMIF($G$9:$G$217,$F$224,H9:H217)</f>
        <v>478</v>
      </c>
      <c r="H224" s="108" t="n">
        <f aca="false">SUMIF($G$9:$G$217,$F$224,I9:I217)</f>
        <v>271</v>
      </c>
      <c r="I224" s="108" t="n">
        <f aca="false">SUMIF($G$9:$G$217,$F$224,J9:J217)</f>
        <v>290</v>
      </c>
      <c r="J224" s="110" t="n">
        <f aca="false">SUMIF($G$9:$G$217,F224,$K$9:$K$217)</f>
        <v>337870.03</v>
      </c>
      <c r="K224" s="110" t="n">
        <f aca="false">SUMIF($G$9:$G$217,$F$224,L9:L217)</f>
        <v>111746.58</v>
      </c>
      <c r="L224" s="110" t="n">
        <f aca="false">SUMIF($G$9:$G$217,$F$224,M9:M217)</f>
        <v>111746.58</v>
      </c>
      <c r="M224" s="109" t="n">
        <f aca="false">SUMIF($G$9:$G$217,$F$224,N9:N217)</f>
        <v>0</v>
      </c>
      <c r="N224" s="108" t="n">
        <f aca="false">SUMIF($G$9:$G$217,$F$224,O9:O217)</f>
        <v>312</v>
      </c>
      <c r="O224" s="109" t="n">
        <f aca="false">SUMIF($G$9:$G$217,F224,$P$9:$P$217)</f>
        <v>838036.21</v>
      </c>
      <c r="P224" s="109" t="n">
        <f aca="false">SUMIF($G$9:$G$217,$F$224,Q9:Q217)</f>
        <v>329393</v>
      </c>
      <c r="Q224" s="109" t="n">
        <f aca="false">SUMIF($G$9:$G$217,$F$224,R9:R217)</f>
        <v>329393</v>
      </c>
      <c r="R224" s="109" t="n">
        <f aca="false">SUMIF($G$9:$G$217,$F$224,S9:S217)</f>
        <v>0</v>
      </c>
      <c r="S224" s="110" t="n">
        <f aca="false">Q224+L224</f>
        <v>441139.58</v>
      </c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107" t="s">
        <v>26</v>
      </c>
      <c r="G225" s="108" t="n">
        <f aca="false">SUMIF($G$9:$G$217,$F$225,H9:H217)</f>
        <v>164</v>
      </c>
      <c r="H225" s="108" t="n">
        <v>20</v>
      </c>
      <c r="I225" s="108" t="n">
        <f aca="false">SUMIF($G$9:$G$217,$F$225,J9:J217)</f>
        <v>20</v>
      </c>
      <c r="J225" s="110" t="n">
        <f aca="false">SUMIF($G$9:$G$217,F225,$K$9:$K$217)</f>
        <v>58369.68</v>
      </c>
      <c r="K225" s="110" t="n">
        <f aca="false">SUMIF($G$9:$G$217,$F$225,L9:L217)</f>
        <v>15585.6</v>
      </c>
      <c r="L225" s="110" t="n">
        <f aca="false">SUMIF($G$9:$G$217,$F$225,M9:M217)</f>
        <v>15585.6</v>
      </c>
      <c r="M225" s="109" t="n">
        <f aca="false">SUMIF($G$9:$G$217,$F$225,N9:N217)</f>
        <v>0</v>
      </c>
      <c r="N225" s="108" t="n">
        <f aca="false">SUMIF($G$9:$G$217,$F$225,O9:O217)</f>
        <v>125</v>
      </c>
      <c r="O225" s="109" t="n">
        <f aca="false">SUMIF($G$9:$G$217,F225,$P$9:$P$217)</f>
        <v>367544.8</v>
      </c>
      <c r="P225" s="109" t="n">
        <f aca="false">SUMIF($G$9:$G$217,$F$225,Q9:Q217)</f>
        <v>0</v>
      </c>
      <c r="Q225" s="109" t="n">
        <f aca="false">SUMIF($G$9:$G$217,$F$225,R9:R217)</f>
        <v>0</v>
      </c>
      <c r="R225" s="109" t="n">
        <f aca="false">SUMIF($G$9:$G$217,$F$225,S9:S217)</f>
        <v>0</v>
      </c>
      <c r="S225" s="110" t="n">
        <f aca="false">Q225+L225</f>
        <v>15585.6</v>
      </c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false" outlineLevel="0" collapsed="false">
      <c r="A226" s="2"/>
      <c r="B226" s="2"/>
      <c r="C226" s="2"/>
      <c r="D226" s="2"/>
      <c r="E226" s="2"/>
      <c r="F226" s="107" t="s">
        <v>23</v>
      </c>
      <c r="G226" s="108" t="n">
        <f aca="false">SUMIF($G$9:$G$217,$F$226,H9:H217)</f>
        <v>113</v>
      </c>
      <c r="H226" s="108" t="n">
        <f aca="false">SUMIF($G$9:$G$217,$F$226,I9:I217)</f>
        <v>11</v>
      </c>
      <c r="I226" s="108" t="n">
        <f aca="false">SUMIF($G$9:$G$217,$F$226,J9:J217)</f>
        <v>11</v>
      </c>
      <c r="J226" s="110" t="n">
        <f aca="false">SUMIF($G$9:$G$217,F226,$K$9:$K$217)</f>
        <v>14096</v>
      </c>
      <c r="K226" s="110" t="n">
        <f aca="false">SUMIF($G$9:$G$217,$F$226,L9:L217)</f>
        <v>1938.2</v>
      </c>
      <c r="L226" s="110" t="n">
        <f aca="false">SUMIF($G$9:$G$217,$F$226,M9:M217)</f>
        <v>1938.2</v>
      </c>
      <c r="M226" s="109" t="n">
        <f aca="false">SUMIF($G$9:$G$217,$F$226,N9:N217)</f>
        <v>0</v>
      </c>
      <c r="N226" s="108" t="n">
        <f aca="false">SUMIF($G$9:$G$217,$F$226,O9:O217)</f>
        <v>55</v>
      </c>
      <c r="O226" s="109" t="n">
        <f aca="false">SUMIF($G$9:$G$217,F226,$P$9:$P$217)</f>
        <v>127238.51</v>
      </c>
      <c r="P226" s="109" t="n">
        <f aca="false">SUMIF($G$9:$G$217,$F$226,Q9:Q217)</f>
        <v>18012.15</v>
      </c>
      <c r="Q226" s="109" t="n">
        <f aca="false">SUMIF($G$9:$G$217,$F$226,R9:R217)</f>
        <v>18012.15</v>
      </c>
      <c r="R226" s="109" t="n">
        <f aca="false">SUMIF($G$9:$G$217,$F$226,S9:S217)</f>
        <v>0</v>
      </c>
      <c r="S226" s="110" t="n">
        <f aca="false">Q226+L226</f>
        <v>19950.35</v>
      </c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2"/>
      <c r="G227" s="216" t="n">
        <f aca="false">G226+G225+G224</f>
        <v>755</v>
      </c>
      <c r="H227" s="216" t="n">
        <f aca="false">H226+H225+H224</f>
        <v>302</v>
      </c>
      <c r="I227" s="216" t="n">
        <f aca="false">I226+I225+I224</f>
        <v>321</v>
      </c>
      <c r="J227" s="217" t="n">
        <f aca="false">J226+J225+J224</f>
        <v>410335.71</v>
      </c>
      <c r="K227" s="217" t="n">
        <f aca="false">K226+K225+K224</f>
        <v>129270.38</v>
      </c>
      <c r="L227" s="217" t="n">
        <f aca="false">L226+L225+L224</f>
        <v>129270.38</v>
      </c>
      <c r="M227" s="217" t="n">
        <f aca="false">M226+M225+M224</f>
        <v>0</v>
      </c>
      <c r="N227" s="216" t="n">
        <f aca="false">N226+N225+N224</f>
        <v>492</v>
      </c>
      <c r="O227" s="217" t="n">
        <f aca="false">O226+O225+O224</f>
        <v>1332819.52</v>
      </c>
      <c r="P227" s="217" t="n">
        <f aca="false">P226+P225+P224</f>
        <v>347405.15</v>
      </c>
      <c r="Q227" s="217" t="n">
        <f aca="false">Q226+Q225+Q224</f>
        <v>347405.15</v>
      </c>
      <c r="R227" s="217" t="n">
        <f aca="false">R226+R225+R224</f>
        <v>0</v>
      </c>
      <c r="S227" s="217" t="n">
        <f aca="false">S226+S225+S224</f>
        <v>476675.53</v>
      </c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82" customFormat="false" ht="15" hidden="false" customHeight="false" outlineLevel="0" collapsed="false">
      <c r="N282" s="221" t="n">
        <f aca="false">N224-3</f>
        <v>309</v>
      </c>
      <c r="O282" s="222" t="n">
        <f aca="false">O224-3063.78</f>
        <v>834972.43</v>
      </c>
    </row>
  </sheetData>
  <mergeCells count="516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3"/>
    <mergeCell ref="B91:B93"/>
    <mergeCell ref="C91:C93"/>
    <mergeCell ref="D91:D93"/>
    <mergeCell ref="E91:E93"/>
    <mergeCell ref="A94:A95"/>
    <mergeCell ref="B94:B95"/>
    <mergeCell ref="C94:C95"/>
    <mergeCell ref="D94:D95"/>
    <mergeCell ref="E94:E95"/>
    <mergeCell ref="A96:A97"/>
    <mergeCell ref="B96:B97"/>
    <mergeCell ref="C96:C97"/>
    <mergeCell ref="D96:D97"/>
    <mergeCell ref="E96:E97"/>
    <mergeCell ref="A98:A99"/>
    <mergeCell ref="B98:B99"/>
    <mergeCell ref="C98:C99"/>
    <mergeCell ref="D98:D99"/>
    <mergeCell ref="E98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2"/>
    <mergeCell ref="B110:B112"/>
    <mergeCell ref="C110:C112"/>
    <mergeCell ref="D110:D112"/>
    <mergeCell ref="E110:E112"/>
    <mergeCell ref="A113:A114"/>
    <mergeCell ref="B113:B114"/>
    <mergeCell ref="C113:C114"/>
    <mergeCell ref="D113:D114"/>
    <mergeCell ref="E113:E114"/>
    <mergeCell ref="A115:A116"/>
    <mergeCell ref="B115:B116"/>
    <mergeCell ref="C115:C116"/>
    <mergeCell ref="D115:D116"/>
    <mergeCell ref="E115:E116"/>
    <mergeCell ref="A117:A118"/>
    <mergeCell ref="B117:B118"/>
    <mergeCell ref="C117:C118"/>
    <mergeCell ref="D117:D118"/>
    <mergeCell ref="E117:E118"/>
    <mergeCell ref="A119:A120"/>
    <mergeCell ref="B119:B120"/>
    <mergeCell ref="C119:C120"/>
    <mergeCell ref="D119:D120"/>
    <mergeCell ref="E119:E120"/>
    <mergeCell ref="A121:A123"/>
    <mergeCell ref="B121:B123"/>
    <mergeCell ref="C121:C123"/>
    <mergeCell ref="D121:D123"/>
    <mergeCell ref="E121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9"/>
    <mergeCell ref="B157:B159"/>
    <mergeCell ref="C157:C159"/>
    <mergeCell ref="D157:D159"/>
    <mergeCell ref="E157:E159"/>
    <mergeCell ref="A160:A161"/>
    <mergeCell ref="B160:B161"/>
    <mergeCell ref="C160:C161"/>
    <mergeCell ref="D160:D161"/>
    <mergeCell ref="E160:E161"/>
    <mergeCell ref="A162:A163"/>
    <mergeCell ref="B162:B163"/>
    <mergeCell ref="C162:C163"/>
    <mergeCell ref="D162:D163"/>
    <mergeCell ref="E162:E163"/>
    <mergeCell ref="A164:A165"/>
    <mergeCell ref="B164:B165"/>
    <mergeCell ref="C164:C165"/>
    <mergeCell ref="D164:D165"/>
    <mergeCell ref="E164:E165"/>
    <mergeCell ref="B166:B167"/>
    <mergeCell ref="D166:D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F222:F223"/>
    <mergeCell ref="G222:M222"/>
    <mergeCell ref="N222:R222"/>
    <mergeCell ref="S222:S223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C286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16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3</v>
      </c>
      <c r="I9" s="148"/>
      <c r="J9" s="148"/>
      <c r="K9" s="149"/>
      <c r="L9" s="149" t="n">
        <f aca="false">M9+N9</f>
        <v>0</v>
      </c>
      <c r="M9" s="149"/>
      <c r="N9" s="150"/>
      <c r="O9" s="151" t="n">
        <v>4</v>
      </c>
      <c r="P9" s="149" t="n">
        <v>2037.73</v>
      </c>
      <c r="Q9" s="149" t="n">
        <f aca="false">R9+S9</f>
        <v>0</v>
      </c>
      <c r="R9" s="149"/>
      <c r="S9" s="15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157" t="n">
        <v>1</v>
      </c>
      <c r="P10" s="155" t="n">
        <v>776.7</v>
      </c>
      <c r="Q10" s="155" t="n">
        <v>776.7</v>
      </c>
      <c r="R10" s="155" t="n">
        <v>776.7</v>
      </c>
      <c r="S10" s="156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11</v>
      </c>
      <c r="I11" s="160" t="n">
        <v>7</v>
      </c>
      <c r="J11" s="160" t="n">
        <v>8</v>
      </c>
      <c r="K11" s="161" t="n">
        <v>9438.15</v>
      </c>
      <c r="L11" s="161" t="n">
        <f aca="false">M11+N11</f>
        <v>3301.64</v>
      </c>
      <c r="M11" s="161"/>
      <c r="N11" s="162" t="n">
        <v>3301.64</v>
      </c>
      <c r="O11" s="163" t="n">
        <v>7</v>
      </c>
      <c r="P11" s="161" t="n">
        <v>21503.99</v>
      </c>
      <c r="Q11" s="161" t="n">
        <f aca="false">R11+S11</f>
        <v>5800.07</v>
      </c>
      <c r="R11" s="161"/>
      <c r="S11" s="162" t="n">
        <v>5800.07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164" t="s">
        <v>26</v>
      </c>
      <c r="H12" s="175" t="n">
        <v>2</v>
      </c>
      <c r="I12" s="165"/>
      <c r="J12" s="165"/>
      <c r="K12" s="166"/>
      <c r="L12" s="166" t="n">
        <f aca="false">M12+N12</f>
        <v>0</v>
      </c>
      <c r="M12" s="166"/>
      <c r="N12" s="167"/>
      <c r="O12" s="168" t="n">
        <v>1</v>
      </c>
      <c r="P12" s="166" t="n">
        <v>1585.8</v>
      </c>
      <c r="Q12" s="166" t="n">
        <f aca="false">R12+S12</f>
        <v>0</v>
      </c>
      <c r="R12" s="166"/>
      <c r="S12" s="167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14</v>
      </c>
      <c r="I13" s="148" t="n">
        <v>13</v>
      </c>
      <c r="J13" s="148" t="n">
        <v>16</v>
      </c>
      <c r="K13" s="149" t="n">
        <v>17802.89</v>
      </c>
      <c r="L13" s="149" t="n">
        <f aca="false">M13+N13</f>
        <v>9684.56</v>
      </c>
      <c r="M13" s="149" t="n">
        <v>9684.56</v>
      </c>
      <c r="N13" s="150"/>
      <c r="O13" s="206" t="n">
        <v>4</v>
      </c>
      <c r="P13" s="149" t="n">
        <v>12388.39</v>
      </c>
      <c r="Q13" s="149" t="n">
        <f aca="false">R13+S13</f>
        <v>9745.39</v>
      </c>
      <c r="R13" s="149" t="n">
        <v>4701.91</v>
      </c>
      <c r="S13" s="150" t="n">
        <v>5043.48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2</v>
      </c>
      <c r="I14" s="154"/>
      <c r="J14" s="154"/>
      <c r="K14" s="155"/>
      <c r="L14" s="155" t="n">
        <f aca="false">M14+N14</f>
        <v>0</v>
      </c>
      <c r="M14" s="155" t="n">
        <v>0</v>
      </c>
      <c r="N14" s="156"/>
      <c r="O14" s="209" t="n">
        <v>4</v>
      </c>
      <c r="P14" s="155" t="n">
        <v>5109.8</v>
      </c>
      <c r="Q14" s="155" t="n">
        <f aca="false">R14+S14</f>
        <v>3692.1</v>
      </c>
      <c r="R14" s="155" t="n">
        <f aca="false">1585.8+2106.3</f>
        <v>3692.1</v>
      </c>
      <c r="S14" s="156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62"/>
      <c r="O15" s="163"/>
      <c r="P15" s="161"/>
      <c r="Q15" s="161" t="n">
        <f aca="false">R15+S15</f>
        <v>0</v>
      </c>
      <c r="R15" s="161" t="n">
        <v>0</v>
      </c>
      <c r="S15" s="16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3</v>
      </c>
      <c r="I16" s="165"/>
      <c r="J16" s="165"/>
      <c r="K16" s="166"/>
      <c r="L16" s="166" t="n">
        <f aca="false">M16+N16</f>
        <v>0</v>
      </c>
      <c r="M16" s="166"/>
      <c r="N16" s="167"/>
      <c r="O16" s="168" t="n">
        <v>3</v>
      </c>
      <c r="P16" s="166" t="n">
        <v>12245.9</v>
      </c>
      <c r="Q16" s="166" t="n">
        <f aca="false">R16+S16</f>
        <v>0</v>
      </c>
      <c r="R16" s="166"/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/>
      <c r="P17" s="149"/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 t="n">
        <v>2</v>
      </c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6</v>
      </c>
      <c r="I19" s="160" t="n">
        <v>3</v>
      </c>
      <c r="J19" s="160" t="n">
        <v>3</v>
      </c>
      <c r="K19" s="161" t="n">
        <v>2878.23</v>
      </c>
      <c r="L19" s="161" t="n">
        <f aca="false">M19+N19</f>
        <v>0</v>
      </c>
      <c r="M19" s="161"/>
      <c r="N19" s="162"/>
      <c r="O19" s="163" t="n">
        <v>11</v>
      </c>
      <c r="P19" s="161" t="n">
        <v>15424.37</v>
      </c>
      <c r="Q19" s="161" t="n">
        <f aca="false">R19+S19</f>
        <v>9903.11</v>
      </c>
      <c r="R19" s="161" t="n">
        <v>9903.11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16</v>
      </c>
      <c r="I21" s="160" t="n">
        <v>9</v>
      </c>
      <c r="J21" s="160" t="n">
        <v>12</v>
      </c>
      <c r="K21" s="161" t="n">
        <v>13358.6</v>
      </c>
      <c r="L21" s="161" t="n">
        <f aca="false">M21+N21</f>
        <v>7998.6</v>
      </c>
      <c r="M21" s="161" t="n">
        <v>7998.6</v>
      </c>
      <c r="N21" s="162"/>
      <c r="O21" s="163" t="n">
        <v>13</v>
      </c>
      <c r="P21" s="161" t="n">
        <v>21911.73</v>
      </c>
      <c r="Q21" s="161" t="n">
        <f aca="false">R21+S21</f>
        <v>13470.86</v>
      </c>
      <c r="R21" s="161" t="n">
        <v>13470.86</v>
      </c>
      <c r="S21" s="16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67"/>
      <c r="O22" s="168"/>
      <c r="P22" s="166"/>
      <c r="Q22" s="166" t="n">
        <f aca="false">R22+S22</f>
        <v>0</v>
      </c>
      <c r="R22" s="166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9</v>
      </c>
      <c r="I23" s="148"/>
      <c r="J23" s="148"/>
      <c r="K23" s="149"/>
      <c r="L23" s="149" t="n">
        <f aca="false">M23+N23</f>
        <v>0</v>
      </c>
      <c r="M23" s="149"/>
      <c r="N23" s="150"/>
      <c r="O23" s="151"/>
      <c r="P23" s="149"/>
      <c r="Q23" s="149" t="n">
        <f aca="false">R23+S23</f>
        <v>0</v>
      </c>
      <c r="R23" s="149"/>
      <c r="S23" s="15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11</v>
      </c>
      <c r="I25" s="160" t="n">
        <v>9</v>
      </c>
      <c r="J25" s="160" t="n">
        <v>12</v>
      </c>
      <c r="K25" s="161" t="n">
        <v>19751.62</v>
      </c>
      <c r="L25" s="161" t="n">
        <f aca="false">M25+N25</f>
        <v>10416.76</v>
      </c>
      <c r="M25" s="161" t="n">
        <v>10416.76</v>
      </c>
      <c r="N25" s="162"/>
      <c r="O25" s="163" t="n">
        <v>6</v>
      </c>
      <c r="P25" s="161" t="n">
        <v>11080.94</v>
      </c>
      <c r="Q25" s="161" t="n">
        <f aca="false">R25+S25</f>
        <v>9706.58</v>
      </c>
      <c r="R25" s="161" t="n">
        <v>9706.58</v>
      </c>
      <c r="S25" s="16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/>
      <c r="J26" s="165"/>
      <c r="K26" s="166"/>
      <c r="L26" s="166" t="n">
        <f aca="false">M26+N26</f>
        <v>0</v>
      </c>
      <c r="M26" s="166"/>
      <c r="N26" s="167"/>
      <c r="O26" s="168" t="n">
        <v>6</v>
      </c>
      <c r="P26" s="166" t="n">
        <v>16386.6</v>
      </c>
      <c r="Q26" s="166" t="n">
        <f aca="false">R26+S26</f>
        <v>0</v>
      </c>
      <c r="R26" s="166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/>
      <c r="J27" s="148"/>
      <c r="K27" s="149"/>
      <c r="L27" s="149" t="n">
        <f aca="false">M27+N27</f>
        <v>0</v>
      </c>
      <c r="M27" s="149"/>
      <c r="N27" s="150"/>
      <c r="O27" s="151" t="n">
        <v>3</v>
      </c>
      <c r="P27" s="149" t="n">
        <v>6373.62</v>
      </c>
      <c r="Q27" s="149" t="n">
        <f aca="false">R27+S27</f>
        <v>3202.02</v>
      </c>
      <c r="R27" s="149" t="n">
        <v>3202.02</v>
      </c>
      <c r="S27" s="150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2</v>
      </c>
      <c r="J28" s="165" t="n">
        <v>2</v>
      </c>
      <c r="K28" s="166" t="n">
        <v>4052.6</v>
      </c>
      <c r="L28" s="166" t="n">
        <f aca="false">M28+N28</f>
        <v>0</v>
      </c>
      <c r="M28" s="166"/>
      <c r="N28" s="167"/>
      <c r="O28" s="168" t="n">
        <v>4</v>
      </c>
      <c r="P28" s="166" t="n">
        <v>14271.6</v>
      </c>
      <c r="Q28" s="149" t="n">
        <f aca="false">R28+S28</f>
        <v>7576.6</v>
      </c>
      <c r="R28" s="166" t="n">
        <f aca="false">5286+2290.6</f>
        <v>7576.6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/>
      <c r="D29" s="19"/>
      <c r="E29" s="19"/>
      <c r="F29" s="20"/>
      <c r="G29" s="146" t="s">
        <v>22</v>
      </c>
      <c r="H29" s="147" t="n">
        <v>3</v>
      </c>
      <c r="I29" s="148"/>
      <c r="J29" s="148"/>
      <c r="K29" s="149"/>
      <c r="L29" s="149" t="n">
        <f aca="false">M29+N29</f>
        <v>0</v>
      </c>
      <c r="M29" s="149"/>
      <c r="N29" s="150"/>
      <c r="O29" s="151"/>
      <c r="P29" s="149"/>
      <c r="Q29" s="149" t="n">
        <f aca="false">R29+S29</f>
        <v>0</v>
      </c>
      <c r="R29" s="149"/>
      <c r="S29" s="15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5</v>
      </c>
      <c r="I30" s="165"/>
      <c r="J30" s="165"/>
      <c r="K30" s="166"/>
      <c r="L30" s="166" t="n">
        <f aca="false">M30+N30</f>
        <v>0</v>
      </c>
      <c r="M30" s="166"/>
      <c r="N30" s="167"/>
      <c r="O30" s="168"/>
      <c r="P30" s="166"/>
      <c r="Q30" s="166" t="n">
        <f aca="false">R30+S30</f>
        <v>0</v>
      </c>
      <c r="R30" s="166"/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/>
      <c r="P31" s="149"/>
      <c r="Q31" s="149" t="n">
        <f aca="false">R31+S31</f>
        <v>0</v>
      </c>
      <c r="R31" s="149"/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 t="n">
        <v>2</v>
      </c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62"/>
      <c r="O33" s="163"/>
      <c r="P33" s="161"/>
      <c r="Q33" s="161" t="n">
        <f aca="false">R33+S33</f>
        <v>0</v>
      </c>
      <c r="R33" s="161"/>
      <c r="S33" s="16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7</v>
      </c>
      <c r="I35" s="160" t="n">
        <v>5</v>
      </c>
      <c r="J35" s="160" t="n">
        <v>5</v>
      </c>
      <c r="K35" s="161" t="n">
        <v>7486.21</v>
      </c>
      <c r="L35" s="161" t="n">
        <f aca="false">M35+N35</f>
        <v>4815.55</v>
      </c>
      <c r="M35" s="161" t="n">
        <v>4815.55</v>
      </c>
      <c r="N35" s="162"/>
      <c r="O35" s="163" t="n">
        <v>10</v>
      </c>
      <c r="P35" s="161" t="n">
        <v>39637.95</v>
      </c>
      <c r="Q35" s="161" t="n">
        <f aca="false">R35+S35</f>
        <v>17818.29</v>
      </c>
      <c r="R35" s="161" t="n">
        <v>17818.29</v>
      </c>
      <c r="S35" s="162"/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/>
      <c r="J36" s="154"/>
      <c r="K36" s="155"/>
      <c r="L36" s="155" t="n">
        <f aca="false">M36+N36</f>
        <v>0</v>
      </c>
      <c r="M36" s="155"/>
      <c r="N36" s="156"/>
      <c r="O36" s="157" t="n">
        <v>2</v>
      </c>
      <c r="P36" s="155" t="n">
        <v>7400.4</v>
      </c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6</v>
      </c>
      <c r="I37" s="160" t="n">
        <v>5</v>
      </c>
      <c r="J37" s="160" t="n">
        <v>6</v>
      </c>
      <c r="K37" s="161" t="n">
        <v>10844.41</v>
      </c>
      <c r="L37" s="161" t="n">
        <f aca="false">M37+N37</f>
        <v>1924.1</v>
      </c>
      <c r="M37" s="161" t="n">
        <v>1924.1</v>
      </c>
      <c r="N37" s="162"/>
      <c r="O37" s="163" t="n">
        <v>13</v>
      </c>
      <c r="P37" s="161" t="n">
        <v>52304.05</v>
      </c>
      <c r="Q37" s="161" t="n">
        <f aca="false">R37+S37</f>
        <v>15233.45</v>
      </c>
      <c r="R37" s="161" t="n">
        <v>15233.45</v>
      </c>
      <c r="S37" s="16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67"/>
      <c r="O38" s="168"/>
      <c r="P38" s="166"/>
      <c r="Q38" s="166" t="n">
        <f aca="false">R38+S38</f>
        <v>0</v>
      </c>
      <c r="R38" s="166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1</v>
      </c>
      <c r="I39" s="148" t="n">
        <v>1</v>
      </c>
      <c r="J39" s="148" t="n">
        <v>1</v>
      </c>
      <c r="K39" s="149" t="n">
        <v>621.99</v>
      </c>
      <c r="L39" s="149" t="n">
        <f aca="false">M39+N39</f>
        <v>0</v>
      </c>
      <c r="M39" s="149"/>
      <c r="N39" s="150"/>
      <c r="O39" s="151"/>
      <c r="P39" s="149"/>
      <c r="Q39" s="149" t="n">
        <f aca="false">R39+S39</f>
        <v>0</v>
      </c>
      <c r="R39" s="149"/>
      <c r="S39" s="15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3</v>
      </c>
      <c r="I40" s="165"/>
      <c r="J40" s="165"/>
      <c r="K40" s="166"/>
      <c r="L40" s="166" t="n">
        <f aca="false">M40+N40</f>
        <v>0</v>
      </c>
      <c r="M40" s="166"/>
      <c r="N40" s="167"/>
      <c r="O40" s="168" t="n">
        <v>1</v>
      </c>
      <c r="P40" s="166" t="n">
        <v>8475.2</v>
      </c>
      <c r="Q40" s="166" t="n">
        <f aca="false">R40+S40</f>
        <v>0</v>
      </c>
      <c r="R40" s="166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/>
      <c r="I41" s="148"/>
      <c r="J41" s="148"/>
      <c r="K41" s="149"/>
      <c r="L41" s="149" t="n">
        <f aca="false">M41+N41</f>
        <v>0</v>
      </c>
      <c r="M41" s="149"/>
      <c r="N41" s="150"/>
      <c r="O41" s="206" t="n">
        <v>3</v>
      </c>
      <c r="P41" s="149" t="n">
        <v>4593.81</v>
      </c>
      <c r="Q41" s="149" t="n">
        <f aca="false">R41+S41</f>
        <v>4593.81</v>
      </c>
      <c r="R41" s="149"/>
      <c r="S41" s="150" t="n">
        <v>4593.81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2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209" t="n">
        <v>3</v>
      </c>
      <c r="P42" s="155" t="n">
        <v>11981.6</v>
      </c>
      <c r="Q42" s="155" t="n">
        <f aca="false">R42+S42</f>
        <v>528.6</v>
      </c>
      <c r="R42" s="155" t="n">
        <f aca="false">528.6</f>
        <v>528.6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62"/>
      <c r="O43" s="163"/>
      <c r="P43" s="161"/>
      <c r="Q43" s="161" t="n">
        <f aca="false">R43+S43</f>
        <v>0</v>
      </c>
      <c r="R43" s="161"/>
      <c r="S43" s="16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2</v>
      </c>
      <c r="I45" s="160"/>
      <c r="J45" s="160"/>
      <c r="K45" s="161"/>
      <c r="L45" s="161" t="n">
        <f aca="false">M45+N45</f>
        <v>0</v>
      </c>
      <c r="M45" s="161"/>
      <c r="N45" s="162"/>
      <c r="O45" s="163" t="n">
        <v>1</v>
      </c>
      <c r="P45" s="161" t="n">
        <v>5039.32</v>
      </c>
      <c r="Q45" s="161" t="n">
        <f aca="false">R45+S45</f>
        <v>5039.32</v>
      </c>
      <c r="R45" s="161" t="n">
        <v>5039.32</v>
      </c>
      <c r="S45" s="16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67"/>
      <c r="O46" s="168"/>
      <c r="P46" s="166"/>
      <c r="Q46" s="166" t="n">
        <f aca="false">R46+S46</f>
        <v>0</v>
      </c>
      <c r="R46" s="166"/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36</v>
      </c>
      <c r="I47" s="148" t="n">
        <v>34</v>
      </c>
      <c r="J47" s="148" t="n">
        <v>34</v>
      </c>
      <c r="K47" s="149" t="n">
        <v>29363.85</v>
      </c>
      <c r="L47" s="149" t="n">
        <f aca="false">M47+N47</f>
        <v>14941.16</v>
      </c>
      <c r="M47" s="149" t="n">
        <v>14941.16</v>
      </c>
      <c r="N47" s="150"/>
      <c r="O47" s="151"/>
      <c r="P47" s="149"/>
      <c r="Q47" s="149" t="n">
        <f aca="false">R47+S47</f>
        <v>0</v>
      </c>
      <c r="R47" s="149"/>
      <c r="S47" s="15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3</v>
      </c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8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1830.37</v>
      </c>
      <c r="M49" s="161" t="n">
        <v>1830.37</v>
      </c>
      <c r="N49" s="162"/>
      <c r="O49" s="163" t="n">
        <v>17</v>
      </c>
      <c r="P49" s="161" t="n">
        <v>61726.54</v>
      </c>
      <c r="Q49" s="161" t="n">
        <f aca="false">R49+S49</f>
        <v>34571.95</v>
      </c>
      <c r="R49" s="161" t="n">
        <v>34571.95</v>
      </c>
      <c r="S49" s="16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/>
      <c r="I51" s="160"/>
      <c r="J51" s="160"/>
      <c r="K51" s="161"/>
      <c r="L51" s="161" t="n">
        <f aca="false">M51+N51</f>
        <v>0</v>
      </c>
      <c r="M51" s="161"/>
      <c r="N51" s="162"/>
      <c r="O51" s="163" t="n">
        <v>3</v>
      </c>
      <c r="P51" s="161" t="n">
        <v>18745.92</v>
      </c>
      <c r="Q51" s="161" t="n">
        <f aca="false">R51+S51</f>
        <v>3805.92</v>
      </c>
      <c r="R51" s="161" t="n">
        <v>3805.92</v>
      </c>
      <c r="S51" s="16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1" t="n">
        <f aca="false">M52+N52</f>
        <v>0</v>
      </c>
      <c r="M52" s="166" t="n">
        <v>0</v>
      </c>
      <c r="N52" s="167"/>
      <c r="O52" s="168" t="n">
        <v>7</v>
      </c>
      <c r="P52" s="166" t="n">
        <v>14217.29</v>
      </c>
      <c r="Q52" s="161" t="n">
        <f aca="false">R52+S52</f>
        <v>5081.89</v>
      </c>
      <c r="R52" s="166" t="n">
        <f aca="false">1409.6+3672.29</f>
        <v>5081.89</v>
      </c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1</v>
      </c>
      <c r="I53" s="148"/>
      <c r="J53" s="148"/>
      <c r="K53" s="149"/>
      <c r="L53" s="149" t="n">
        <f aca="false">M53+N53</f>
        <v>0</v>
      </c>
      <c r="M53" s="149"/>
      <c r="N53" s="150"/>
      <c r="O53" s="151" t="n">
        <v>11</v>
      </c>
      <c r="P53" s="149" t="n">
        <v>43131.21</v>
      </c>
      <c r="Q53" s="149" t="n">
        <f aca="false">R53+S53</f>
        <v>43131.21</v>
      </c>
      <c r="R53" s="149"/>
      <c r="S53" s="150" t="n">
        <v>43131.21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67"/>
      <c r="O54" s="168"/>
      <c r="P54" s="166"/>
      <c r="Q54" s="166" t="n">
        <f aca="false">R54+S54</f>
        <v>0</v>
      </c>
      <c r="R54" s="166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155</v>
      </c>
      <c r="C55" s="19"/>
      <c r="D55" s="19"/>
      <c r="E55" s="19"/>
      <c r="F55" s="20"/>
      <c r="G55" s="146" t="s">
        <v>22</v>
      </c>
      <c r="H55" s="173" t="n">
        <v>9</v>
      </c>
      <c r="I55" s="148" t="n">
        <v>5</v>
      </c>
      <c r="J55" s="148" t="n">
        <v>5</v>
      </c>
      <c r="K55" s="149" t="n">
        <v>5893.89</v>
      </c>
      <c r="L55" s="149" t="n">
        <f aca="false">M55+N55</f>
        <v>0</v>
      </c>
      <c r="M55" s="149"/>
      <c r="N55" s="150"/>
      <c r="O55" s="151"/>
      <c r="P55" s="149"/>
      <c r="Q55" s="149" t="n">
        <f aca="false">R55+S55</f>
        <v>0</v>
      </c>
      <c r="R55" s="149"/>
      <c r="S55" s="15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71"/>
      <c r="G56" s="164" t="s">
        <v>26</v>
      </c>
      <c r="H56" s="177"/>
      <c r="I56" s="165"/>
      <c r="J56" s="165"/>
      <c r="K56" s="166"/>
      <c r="L56" s="166" t="n">
        <f aca="false">M56+N56</f>
        <v>0</v>
      </c>
      <c r="M56" s="166"/>
      <c r="N56" s="167"/>
      <c r="O56" s="168"/>
      <c r="P56" s="166"/>
      <c r="Q56" s="166" t="n">
        <f aca="false">R56+S56</f>
        <v>0</v>
      </c>
      <c r="R56" s="166"/>
      <c r="S56" s="167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17"/>
      <c r="B57" s="18" t="s">
        <v>221</v>
      </c>
      <c r="C57" s="19"/>
      <c r="D57" s="19"/>
      <c r="E57" s="19"/>
      <c r="F57" s="20"/>
      <c r="G57" s="146" t="s">
        <v>22</v>
      </c>
      <c r="H57" s="173" t="n">
        <v>4</v>
      </c>
      <c r="I57" s="148"/>
      <c r="J57" s="148"/>
      <c r="K57" s="149"/>
      <c r="L57" s="149" t="n">
        <f aca="false">M57+N57</f>
        <v>0</v>
      </c>
      <c r="M57" s="149"/>
      <c r="N57" s="150"/>
      <c r="O57" s="151"/>
      <c r="P57" s="149"/>
      <c r="Q57" s="149" t="n">
        <f aca="false">R57+S57</f>
        <v>0</v>
      </c>
      <c r="R57" s="149"/>
      <c r="S57" s="15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17"/>
      <c r="B58" s="18"/>
      <c r="C58" s="18"/>
      <c r="D58" s="18"/>
      <c r="E58" s="18"/>
      <c r="F58" s="26" t="s">
        <v>233</v>
      </c>
      <c r="G58" s="152" t="s">
        <v>23</v>
      </c>
      <c r="H58" s="174" t="n">
        <v>1</v>
      </c>
      <c r="I58" s="154"/>
      <c r="J58" s="154"/>
      <c r="K58" s="155"/>
      <c r="L58" s="155" t="n">
        <f aca="false">M58+N58</f>
        <v>0</v>
      </c>
      <c r="M58" s="155"/>
      <c r="N58" s="156"/>
      <c r="O58" s="157"/>
      <c r="P58" s="155"/>
      <c r="Q58" s="155" t="n">
        <f aca="false">R58+S58</f>
        <v>0</v>
      </c>
      <c r="R58" s="155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33"/>
      <c r="B59" s="34" t="s">
        <v>58</v>
      </c>
      <c r="C59" s="35" t="s">
        <v>20</v>
      </c>
      <c r="D59" s="35"/>
      <c r="E59" s="35" t="s">
        <v>52</v>
      </c>
      <c r="F59" s="36"/>
      <c r="G59" s="158" t="s">
        <v>22</v>
      </c>
      <c r="H59" s="159" t="n">
        <v>5</v>
      </c>
      <c r="I59" s="160" t="n">
        <v>2</v>
      </c>
      <c r="J59" s="160" t="n">
        <v>2</v>
      </c>
      <c r="K59" s="161" t="n">
        <v>2238.62</v>
      </c>
      <c r="L59" s="161" t="n">
        <f aca="false">M59+N59</f>
        <v>2238.62</v>
      </c>
      <c r="M59" s="161" t="n">
        <v>2238.62</v>
      </c>
      <c r="N59" s="162"/>
      <c r="O59" s="163" t="n">
        <v>8</v>
      </c>
      <c r="P59" s="161" t="n">
        <v>39387.3</v>
      </c>
      <c r="Q59" s="161" t="n">
        <f aca="false">R59+S59</f>
        <v>39387.3</v>
      </c>
      <c r="R59" s="161" t="n">
        <v>11963.05</v>
      </c>
      <c r="S59" s="162" t="n">
        <v>27424.25</v>
      </c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71"/>
      <c r="G60" s="164" t="s">
        <v>26</v>
      </c>
      <c r="H60" s="175"/>
      <c r="I60" s="165"/>
      <c r="J60" s="165"/>
      <c r="K60" s="166"/>
      <c r="L60" s="166" t="n">
        <f aca="false">M60+N60</f>
        <v>0</v>
      </c>
      <c r="M60" s="166"/>
      <c r="N60" s="167"/>
      <c r="O60" s="168"/>
      <c r="P60" s="166"/>
      <c r="Q60" s="166" t="n">
        <f aca="false">R60+S60</f>
        <v>0</v>
      </c>
      <c r="R60" s="166"/>
      <c r="S60" s="167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222</v>
      </c>
      <c r="C61" s="19"/>
      <c r="D61" s="49"/>
      <c r="E61" s="19"/>
      <c r="F61" s="22"/>
      <c r="G61" s="146" t="s">
        <v>22</v>
      </c>
      <c r="H61" s="147" t="n">
        <v>7</v>
      </c>
      <c r="I61" s="148"/>
      <c r="J61" s="148"/>
      <c r="K61" s="149"/>
      <c r="L61" s="149" t="n">
        <f aca="false">M61+N61</f>
        <v>0</v>
      </c>
      <c r="M61" s="149"/>
      <c r="N61" s="150"/>
      <c r="O61" s="151"/>
      <c r="P61" s="149"/>
      <c r="Q61" s="149" t="n">
        <f aca="false">R61+S61</f>
        <v>0</v>
      </c>
      <c r="R61" s="149"/>
      <c r="S61" s="15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42" t="s">
        <v>234</v>
      </c>
      <c r="G62" s="164" t="s">
        <v>23</v>
      </c>
      <c r="H62" s="178" t="n">
        <v>1</v>
      </c>
      <c r="I62" s="165"/>
      <c r="J62" s="165"/>
      <c r="K62" s="166"/>
      <c r="L62" s="166" t="n">
        <f aca="false">M62+N62</f>
        <v>0</v>
      </c>
      <c r="M62" s="166"/>
      <c r="N62" s="167"/>
      <c r="O62" s="168"/>
      <c r="P62" s="166"/>
      <c r="Q62" s="166" t="n">
        <f aca="false">R62+S62</f>
        <v>0</v>
      </c>
      <c r="R62" s="166"/>
      <c r="S62" s="167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249</v>
      </c>
      <c r="C63" s="19"/>
      <c r="D63" s="49"/>
      <c r="E63" s="19"/>
      <c r="F63" s="22"/>
      <c r="G63" s="146" t="s">
        <v>22</v>
      </c>
      <c r="H63" s="147"/>
      <c r="I63" s="148"/>
      <c r="J63" s="148"/>
      <c r="K63" s="149"/>
      <c r="L63" s="149" t="n">
        <f aca="false">M63+N63</f>
        <v>0</v>
      </c>
      <c r="M63" s="149"/>
      <c r="N63" s="150"/>
      <c r="O63" s="206"/>
      <c r="P63" s="149"/>
      <c r="Q63" s="149" t="n">
        <f aca="false">R63+S63</f>
        <v>0</v>
      </c>
      <c r="R63" s="149"/>
      <c r="S63" s="15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23" t="s">
        <v>250</v>
      </c>
      <c r="G64" s="152" t="s">
        <v>26</v>
      </c>
      <c r="H64" s="176" t="n">
        <v>1</v>
      </c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33"/>
      <c r="B65" s="34" t="s">
        <v>59</v>
      </c>
      <c r="C65" s="35" t="s">
        <v>20</v>
      </c>
      <c r="D65" s="95"/>
      <c r="E65" s="35" t="s">
        <v>25</v>
      </c>
      <c r="F65" s="38"/>
      <c r="G65" s="158" t="s">
        <v>22</v>
      </c>
      <c r="H65" s="169"/>
      <c r="I65" s="160"/>
      <c r="J65" s="160"/>
      <c r="K65" s="161"/>
      <c r="L65" s="161" t="n">
        <f aca="false">M65+N65</f>
        <v>0</v>
      </c>
      <c r="M65" s="161"/>
      <c r="N65" s="162"/>
      <c r="O65" s="163"/>
      <c r="P65" s="161"/>
      <c r="Q65" s="161" t="n">
        <f aca="false">R65+S65</f>
        <v>0</v>
      </c>
      <c r="R65" s="161"/>
      <c r="S65" s="16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71"/>
      <c r="G66" s="164" t="s">
        <v>26</v>
      </c>
      <c r="H66" s="153"/>
      <c r="I66" s="165"/>
      <c r="J66" s="165"/>
      <c r="K66" s="166"/>
      <c r="L66" s="166" t="n">
        <f aca="false">M66+N66</f>
        <v>0</v>
      </c>
      <c r="M66" s="166"/>
      <c r="N66" s="167"/>
      <c r="O66" s="168"/>
      <c r="P66" s="166"/>
      <c r="Q66" s="166" t="n">
        <f aca="false">R66+S66</f>
        <v>0</v>
      </c>
      <c r="R66" s="166"/>
      <c r="S66" s="167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60</v>
      </c>
      <c r="C67" s="19" t="s">
        <v>20</v>
      </c>
      <c r="D67" s="19"/>
      <c r="E67" s="19" t="s">
        <v>21</v>
      </c>
      <c r="F67" s="22"/>
      <c r="G67" s="146" t="s">
        <v>22</v>
      </c>
      <c r="H67" s="169" t="n">
        <v>1</v>
      </c>
      <c r="I67" s="148"/>
      <c r="J67" s="148"/>
      <c r="K67" s="149"/>
      <c r="L67" s="149" t="n">
        <f aca="false">M67+N67</f>
        <v>0</v>
      </c>
      <c r="M67" s="149"/>
      <c r="N67" s="150"/>
      <c r="O67" s="151" t="n">
        <v>1</v>
      </c>
      <c r="P67" s="149" t="n">
        <v>881</v>
      </c>
      <c r="Q67" s="149" t="n">
        <f aca="false">R67+S67</f>
        <v>881</v>
      </c>
      <c r="R67" s="149"/>
      <c r="S67" s="150" t="n">
        <v>881</v>
      </c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17"/>
      <c r="B68" s="18"/>
      <c r="C68" s="18"/>
      <c r="D68" s="18"/>
      <c r="E68" s="18"/>
      <c r="F68" s="71"/>
      <c r="G68" s="164" t="s">
        <v>23</v>
      </c>
      <c r="H68" s="175"/>
      <c r="I68" s="165"/>
      <c r="J68" s="165"/>
      <c r="K68" s="166"/>
      <c r="L68" s="166" t="n">
        <f aca="false">M68+N68</f>
        <v>0</v>
      </c>
      <c r="M68" s="166"/>
      <c r="N68" s="167"/>
      <c r="O68" s="168"/>
      <c r="P68" s="166"/>
      <c r="Q68" s="166" t="n">
        <f aca="false">R68+S68</f>
        <v>0</v>
      </c>
      <c r="R68" s="166"/>
      <c r="S68" s="167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.75" hidden="false" customHeight="true" outlineLevel="0" collapsed="false">
      <c r="A69" s="17"/>
      <c r="B69" s="18" t="s">
        <v>223</v>
      </c>
      <c r="C69" s="19"/>
      <c r="D69" s="19"/>
      <c r="E69" s="19"/>
      <c r="F69" s="20"/>
      <c r="G69" s="146" t="s">
        <v>22</v>
      </c>
      <c r="H69" s="173" t="n">
        <v>5</v>
      </c>
      <c r="I69" s="148"/>
      <c r="J69" s="148"/>
      <c r="K69" s="149"/>
      <c r="L69" s="149" t="n">
        <f aca="false">M69+N69</f>
        <v>0</v>
      </c>
      <c r="M69" s="149"/>
      <c r="N69" s="150"/>
      <c r="O69" s="151"/>
      <c r="P69" s="149"/>
      <c r="Q69" s="149" t="n">
        <f aca="false">R69+S69</f>
        <v>0</v>
      </c>
      <c r="R69" s="149"/>
      <c r="S69" s="15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17"/>
      <c r="B70" s="18"/>
      <c r="C70" s="18"/>
      <c r="D70" s="18"/>
      <c r="E70" s="18"/>
      <c r="F70" s="26" t="s">
        <v>235</v>
      </c>
      <c r="G70" s="152" t="s">
        <v>23</v>
      </c>
      <c r="H70" s="174" t="n">
        <v>15</v>
      </c>
      <c r="I70" s="154" t="n">
        <v>2</v>
      </c>
      <c r="J70" s="154" t="n">
        <v>2</v>
      </c>
      <c r="K70" s="155" t="n">
        <v>2128.2</v>
      </c>
      <c r="L70" s="155" t="n">
        <f aca="false">M70+N70</f>
        <v>0</v>
      </c>
      <c r="M70" s="155"/>
      <c r="N70" s="156"/>
      <c r="O70" s="157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.75" hidden="false" customHeight="true" outlineLevel="0" collapsed="false">
      <c r="A71" s="33"/>
      <c r="B71" s="34" t="s">
        <v>61</v>
      </c>
      <c r="C71" s="35" t="s">
        <v>33</v>
      </c>
      <c r="D71" s="56" t="s">
        <v>62</v>
      </c>
      <c r="E71" s="35" t="s">
        <v>25</v>
      </c>
      <c r="F71" s="36"/>
      <c r="G71" s="158" t="s">
        <v>22</v>
      </c>
      <c r="H71" s="159" t="n">
        <v>4</v>
      </c>
      <c r="I71" s="160" t="n">
        <v>3</v>
      </c>
      <c r="J71" s="160" t="n">
        <v>3</v>
      </c>
      <c r="K71" s="161" t="n">
        <v>4510.72</v>
      </c>
      <c r="L71" s="161" t="n">
        <f aca="false">M71+N71</f>
        <v>1691.52</v>
      </c>
      <c r="M71" s="161"/>
      <c r="N71" s="162" t="n">
        <v>1691.52</v>
      </c>
      <c r="O71" s="163" t="n">
        <v>1</v>
      </c>
      <c r="P71" s="161" t="n">
        <v>5123.54</v>
      </c>
      <c r="Q71" s="161" t="n">
        <f aca="false">R71+S71</f>
        <v>5123.54</v>
      </c>
      <c r="R71" s="161"/>
      <c r="S71" s="162" t="n">
        <v>5123.54</v>
      </c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33"/>
      <c r="B72" s="34"/>
      <c r="C72" s="34"/>
      <c r="D72" s="56"/>
      <c r="E72" s="35"/>
      <c r="F72" s="42" t="s">
        <v>173</v>
      </c>
      <c r="G72" s="164" t="s">
        <v>26</v>
      </c>
      <c r="H72" s="153" t="n">
        <v>2</v>
      </c>
      <c r="I72" s="165"/>
      <c r="J72" s="165"/>
      <c r="K72" s="166"/>
      <c r="L72" s="166" t="n">
        <f aca="false">M72+N72</f>
        <v>0</v>
      </c>
      <c r="M72" s="166"/>
      <c r="N72" s="167"/>
      <c r="O72" s="168" t="n">
        <v>2</v>
      </c>
      <c r="P72" s="166" t="n">
        <v>3171.6</v>
      </c>
      <c r="Q72" s="166" t="n">
        <f aca="false">R72+S72</f>
        <v>0</v>
      </c>
      <c r="R72" s="166"/>
      <c r="S72" s="167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72"/>
      <c r="B73" s="73" t="s">
        <v>63</v>
      </c>
      <c r="C73" s="74" t="s">
        <v>20</v>
      </c>
      <c r="D73" s="74"/>
      <c r="E73" s="74" t="s">
        <v>25</v>
      </c>
      <c r="F73" s="20"/>
      <c r="G73" s="146" t="s">
        <v>22</v>
      </c>
      <c r="H73" s="169" t="n">
        <v>2</v>
      </c>
      <c r="I73" s="148"/>
      <c r="J73" s="148"/>
      <c r="K73" s="149"/>
      <c r="L73" s="149" t="n">
        <f aca="false">M73+N73</f>
        <v>0</v>
      </c>
      <c r="M73" s="149"/>
      <c r="N73" s="150"/>
      <c r="O73" s="151" t="n">
        <v>7</v>
      </c>
      <c r="P73" s="149" t="n">
        <v>16379.75</v>
      </c>
      <c r="Q73" s="149" t="n">
        <f aca="false">R73+S73</f>
        <v>8726.55</v>
      </c>
      <c r="R73" s="149" t="n">
        <v>2616.57</v>
      </c>
      <c r="S73" s="150" t="n">
        <v>6109.98</v>
      </c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72"/>
      <c r="B74" s="73"/>
      <c r="C74" s="73"/>
      <c r="D74" s="73"/>
      <c r="E74" s="73"/>
      <c r="F74" s="42" t="s">
        <v>174</v>
      </c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67"/>
      <c r="O74" s="168"/>
      <c r="P74" s="166"/>
      <c r="Q74" s="166" t="n">
        <f aca="false">R74+S74</f>
        <v>0</v>
      </c>
      <c r="R74" s="166"/>
      <c r="S74" s="167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72"/>
      <c r="B75" s="73" t="s">
        <v>64</v>
      </c>
      <c r="C75" s="74" t="s">
        <v>20</v>
      </c>
      <c r="D75" s="74"/>
      <c r="E75" s="74" t="s">
        <v>25</v>
      </c>
      <c r="F75" s="20"/>
      <c r="G75" s="146" t="s">
        <v>22</v>
      </c>
      <c r="H75" s="169"/>
      <c r="I75" s="148"/>
      <c r="J75" s="148"/>
      <c r="K75" s="149"/>
      <c r="L75" s="149" t="n">
        <f aca="false">M75+N75</f>
        <v>0</v>
      </c>
      <c r="M75" s="149"/>
      <c r="N75" s="150"/>
      <c r="O75" s="151"/>
      <c r="P75" s="149"/>
      <c r="Q75" s="149" t="n">
        <f aca="false">R75+S75</f>
        <v>0</v>
      </c>
      <c r="R75" s="149"/>
      <c r="S75" s="15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72"/>
      <c r="B76" s="73"/>
      <c r="C76" s="73"/>
      <c r="D76" s="73"/>
      <c r="E76" s="73"/>
      <c r="F76" s="71"/>
      <c r="G76" s="164" t="s">
        <v>26</v>
      </c>
      <c r="H76" s="153"/>
      <c r="I76" s="165"/>
      <c r="J76" s="165"/>
      <c r="K76" s="166"/>
      <c r="L76" s="166" t="n">
        <f aca="false">M76+N76</f>
        <v>0</v>
      </c>
      <c r="M76" s="166"/>
      <c r="N76" s="167"/>
      <c r="O76" s="168"/>
      <c r="P76" s="166"/>
      <c r="Q76" s="166" t="n">
        <f aca="false">R76+S76</f>
        <v>0</v>
      </c>
      <c r="R76" s="166"/>
      <c r="S76" s="167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17"/>
      <c r="B77" s="18" t="s">
        <v>65</v>
      </c>
      <c r="C77" s="19" t="s">
        <v>33</v>
      </c>
      <c r="D77" s="19" t="s">
        <v>66</v>
      </c>
      <c r="E77" s="19" t="s">
        <v>67</v>
      </c>
      <c r="F77" s="20"/>
      <c r="G77" s="146" t="s">
        <v>22</v>
      </c>
      <c r="H77" s="159" t="n">
        <v>4</v>
      </c>
      <c r="I77" s="148" t="n">
        <v>2</v>
      </c>
      <c r="J77" s="148" t="n">
        <v>2</v>
      </c>
      <c r="K77" s="149" t="n">
        <v>1573.47</v>
      </c>
      <c r="L77" s="149" t="n">
        <f aca="false">M77+N77</f>
        <v>704.8</v>
      </c>
      <c r="M77" s="149" t="n">
        <v>704.8</v>
      </c>
      <c r="N77" s="150"/>
      <c r="O77" s="151" t="n">
        <v>3</v>
      </c>
      <c r="P77" s="149" t="n">
        <v>8219.9</v>
      </c>
      <c r="Q77" s="149" t="n">
        <f aca="false">R77+S77</f>
        <v>4384.96</v>
      </c>
      <c r="R77" s="149" t="n">
        <v>4384.96</v>
      </c>
      <c r="S77" s="15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42" t="s">
        <v>236</v>
      </c>
      <c r="G78" s="164" t="s">
        <v>23</v>
      </c>
      <c r="H78" s="172" t="n">
        <v>25</v>
      </c>
      <c r="I78" s="165" t="n">
        <v>4</v>
      </c>
      <c r="J78" s="165" t="n">
        <v>4</v>
      </c>
      <c r="K78" s="166" t="n">
        <v>3876.4</v>
      </c>
      <c r="L78" s="166" t="n">
        <v>0</v>
      </c>
      <c r="M78" s="166" t="n">
        <v>0</v>
      </c>
      <c r="N78" s="167"/>
      <c r="O78" s="168" t="n">
        <v>19</v>
      </c>
      <c r="P78" s="166" t="n">
        <v>46548.22</v>
      </c>
      <c r="Q78" s="166" t="n">
        <v>3788.3</v>
      </c>
      <c r="R78" s="166" t="n">
        <v>3788.3</v>
      </c>
      <c r="S78" s="167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175</v>
      </c>
      <c r="C79" s="19"/>
      <c r="D79" s="19"/>
      <c r="E79" s="19"/>
      <c r="F79" s="137"/>
      <c r="G79" s="146" t="s">
        <v>22</v>
      </c>
      <c r="H79" s="147" t="n">
        <v>1</v>
      </c>
      <c r="I79" s="148"/>
      <c r="J79" s="148"/>
      <c r="K79" s="149"/>
      <c r="L79" s="149" t="n">
        <f aca="false">M79+N79</f>
        <v>0</v>
      </c>
      <c r="M79" s="149"/>
      <c r="N79" s="150"/>
      <c r="O79" s="151"/>
      <c r="P79" s="149"/>
      <c r="Q79" s="149" t="n">
        <f aca="false">R79+S79</f>
        <v>0</v>
      </c>
      <c r="R79" s="149"/>
      <c r="S79" s="15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" hidden="false" customHeight="false" outlineLevel="0" collapsed="false">
      <c r="A80" s="17"/>
      <c r="B80" s="18"/>
      <c r="C80" s="18"/>
      <c r="D80" s="18"/>
      <c r="E80" s="18"/>
      <c r="F80" s="89"/>
      <c r="G80" s="164" t="s">
        <v>26</v>
      </c>
      <c r="H80" s="178" t="n">
        <v>5</v>
      </c>
      <c r="I80" s="165" t="n">
        <v>1</v>
      </c>
      <c r="J80" s="165" t="n">
        <v>1</v>
      </c>
      <c r="K80" s="166" t="n">
        <v>2290.6</v>
      </c>
      <c r="L80" s="166" t="n">
        <f aca="false">M80+N80</f>
        <v>0</v>
      </c>
      <c r="M80" s="166"/>
      <c r="N80" s="167"/>
      <c r="O80" s="168"/>
      <c r="P80" s="166"/>
      <c r="Q80" s="166" t="n">
        <f aca="false">R80+S80</f>
        <v>0</v>
      </c>
      <c r="R80" s="166"/>
      <c r="S80" s="167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" hidden="false" customHeight="true" outlineLevel="0" collapsed="false">
      <c r="A81" s="17"/>
      <c r="B81" s="18" t="s">
        <v>68</v>
      </c>
      <c r="C81" s="19" t="s">
        <v>20</v>
      </c>
      <c r="D81" s="19"/>
      <c r="E81" s="19" t="s">
        <v>69</v>
      </c>
      <c r="F81" s="22"/>
      <c r="G81" s="146" t="s">
        <v>22</v>
      </c>
      <c r="H81" s="147" t="n">
        <v>4</v>
      </c>
      <c r="I81" s="148"/>
      <c r="J81" s="148"/>
      <c r="K81" s="149"/>
      <c r="L81" s="149" t="n">
        <f aca="false">M81+N81</f>
        <v>0</v>
      </c>
      <c r="M81" s="149"/>
      <c r="N81" s="150"/>
      <c r="O81" s="151" t="n">
        <v>9</v>
      </c>
      <c r="P81" s="149" t="n">
        <v>16202.52</v>
      </c>
      <c r="Q81" s="149" t="n">
        <f aca="false">R81+S81</f>
        <v>3419.21</v>
      </c>
      <c r="R81" s="149" t="n">
        <v>3419.21</v>
      </c>
      <c r="S81" s="15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176</v>
      </c>
      <c r="G82" s="152" t="s">
        <v>26</v>
      </c>
      <c r="H82" s="153" t="n">
        <v>2</v>
      </c>
      <c r="I82" s="154"/>
      <c r="J82" s="154"/>
      <c r="K82" s="179"/>
      <c r="L82" s="155" t="n">
        <f aca="false">M82+N82</f>
        <v>0</v>
      </c>
      <c r="M82" s="155"/>
      <c r="N82" s="156"/>
      <c r="O82" s="157"/>
      <c r="P82" s="155" t="n">
        <v>5462.2</v>
      </c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54"/>
      <c r="B83" s="55" t="s">
        <v>70</v>
      </c>
      <c r="C83" s="56" t="s">
        <v>20</v>
      </c>
      <c r="D83" s="56" t="s">
        <v>71</v>
      </c>
      <c r="E83" s="56" t="s">
        <v>25</v>
      </c>
      <c r="F83" s="36"/>
      <c r="G83" s="158" t="s">
        <v>22</v>
      </c>
      <c r="H83" s="169" t="n">
        <v>1</v>
      </c>
      <c r="I83" s="160"/>
      <c r="J83" s="160"/>
      <c r="K83" s="161"/>
      <c r="L83" s="161" t="n">
        <f aca="false">M83+N83</f>
        <v>0</v>
      </c>
      <c r="M83" s="161"/>
      <c r="N83" s="162"/>
      <c r="O83" s="163" t="n">
        <v>2</v>
      </c>
      <c r="P83" s="161" t="n">
        <v>21444.23</v>
      </c>
      <c r="Q83" s="161" t="n">
        <f aca="false">R83+S83</f>
        <v>0</v>
      </c>
      <c r="R83" s="161"/>
      <c r="S83" s="16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54"/>
      <c r="B84" s="55"/>
      <c r="C84" s="55"/>
      <c r="D84" s="55"/>
      <c r="E84" s="55"/>
      <c r="F84" s="26" t="s">
        <v>177</v>
      </c>
      <c r="G84" s="152" t="s">
        <v>26</v>
      </c>
      <c r="H84" s="153" t="n">
        <v>3</v>
      </c>
      <c r="I84" s="154"/>
      <c r="J84" s="154"/>
      <c r="K84" s="155"/>
      <c r="L84" s="155" t="n">
        <f aca="false">M84+N84</f>
        <v>0</v>
      </c>
      <c r="M84" s="155"/>
      <c r="N84" s="156"/>
      <c r="O84" s="157"/>
      <c r="P84" s="155"/>
      <c r="Q84" s="155" t="n">
        <f aca="false">R84+S84</f>
        <v>0</v>
      </c>
      <c r="R84" s="155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33"/>
      <c r="B85" s="34" t="s">
        <v>72</v>
      </c>
      <c r="C85" s="35" t="s">
        <v>20</v>
      </c>
      <c r="D85" s="35"/>
      <c r="E85" s="35" t="s">
        <v>52</v>
      </c>
      <c r="F85" s="36"/>
      <c r="G85" s="146" t="s">
        <v>22</v>
      </c>
      <c r="H85" s="159" t="n">
        <v>2</v>
      </c>
      <c r="I85" s="160"/>
      <c r="J85" s="160"/>
      <c r="K85" s="161"/>
      <c r="L85" s="161" t="n">
        <f aca="false">M85+N85</f>
        <v>0</v>
      </c>
      <c r="M85" s="161"/>
      <c r="N85" s="162"/>
      <c r="O85" s="163" t="n">
        <v>1</v>
      </c>
      <c r="P85" s="161" t="n">
        <v>13674.03</v>
      </c>
      <c r="Q85" s="161" t="n">
        <f aca="false">R85+S85</f>
        <v>0</v>
      </c>
      <c r="R85" s="161"/>
      <c r="S85" s="16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33"/>
      <c r="B86" s="34"/>
      <c r="C86" s="34"/>
      <c r="D86" s="34"/>
      <c r="E86" s="34"/>
      <c r="F86" s="42" t="s">
        <v>178</v>
      </c>
      <c r="G86" s="164" t="s">
        <v>26</v>
      </c>
      <c r="H86" s="171" t="n">
        <v>2</v>
      </c>
      <c r="I86" s="165"/>
      <c r="J86" s="165"/>
      <c r="K86" s="166"/>
      <c r="L86" s="161" t="n">
        <f aca="false">M86+N86</f>
        <v>0</v>
      </c>
      <c r="M86" s="166" t="n">
        <v>0</v>
      </c>
      <c r="N86" s="167"/>
      <c r="O86" s="168" t="n">
        <v>3</v>
      </c>
      <c r="P86" s="166" t="n">
        <v>11108.48</v>
      </c>
      <c r="Q86" s="166" t="n">
        <f aca="false">R86+S86</f>
        <v>8641.68</v>
      </c>
      <c r="R86" s="166" t="n">
        <f aca="false">881</f>
        <v>881</v>
      </c>
      <c r="S86" s="167" t="n">
        <f aca="false">2466.8+5293.88</f>
        <v>7760.68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73</v>
      </c>
      <c r="C87" s="19" t="s">
        <v>20</v>
      </c>
      <c r="D87" s="19"/>
      <c r="E87" s="19" t="s">
        <v>52</v>
      </c>
      <c r="F87" s="20"/>
      <c r="G87" s="146" t="s">
        <v>22</v>
      </c>
      <c r="H87" s="159" t="n">
        <v>3</v>
      </c>
      <c r="I87" s="148" t="n">
        <v>2</v>
      </c>
      <c r="J87" s="148" t="n">
        <v>2</v>
      </c>
      <c r="K87" s="149" t="n">
        <v>2277.26</v>
      </c>
      <c r="L87" s="149" t="n">
        <f aca="false">M87+N87</f>
        <v>1395.5</v>
      </c>
      <c r="M87" s="149" t="n">
        <v>1395.5</v>
      </c>
      <c r="N87" s="150"/>
      <c r="O87" s="151" t="n">
        <v>2</v>
      </c>
      <c r="P87" s="149" t="n">
        <v>3239.04</v>
      </c>
      <c r="Q87" s="149" t="n">
        <f aca="false">R87+S87</f>
        <v>3239.04</v>
      </c>
      <c r="R87" s="149" t="n">
        <v>3239.04</v>
      </c>
      <c r="S87" s="15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26" t="s">
        <v>179</v>
      </c>
      <c r="G88" s="152" t="s">
        <v>26</v>
      </c>
      <c r="H88" s="153" t="n">
        <v>3</v>
      </c>
      <c r="I88" s="154" t="n">
        <v>3</v>
      </c>
      <c r="J88" s="154" t="n">
        <v>3</v>
      </c>
      <c r="K88" s="155" t="n">
        <v>8454.6</v>
      </c>
      <c r="L88" s="155" t="n">
        <f aca="false">M88+N88</f>
        <v>0</v>
      </c>
      <c r="M88" s="155"/>
      <c r="N88" s="156"/>
      <c r="O88" s="157" t="n">
        <v>1</v>
      </c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33"/>
      <c r="B89" s="34" t="s">
        <v>74</v>
      </c>
      <c r="C89" s="35" t="s">
        <v>33</v>
      </c>
      <c r="D89" s="35" t="s">
        <v>75</v>
      </c>
      <c r="E89" s="35" t="s">
        <v>25</v>
      </c>
      <c r="F89" s="36"/>
      <c r="G89" s="146" t="s">
        <v>22</v>
      </c>
      <c r="H89" s="159" t="n">
        <v>14</v>
      </c>
      <c r="I89" s="160" t="n">
        <v>8</v>
      </c>
      <c r="J89" s="160" t="n">
        <v>8</v>
      </c>
      <c r="K89" s="161" t="n">
        <v>10561.52</v>
      </c>
      <c r="L89" s="161" t="n">
        <f aca="false">M89+N89</f>
        <v>10561.52</v>
      </c>
      <c r="M89" s="161"/>
      <c r="N89" s="162" t="n">
        <v>10561.52</v>
      </c>
      <c r="O89" s="163" t="n">
        <v>19</v>
      </c>
      <c r="P89" s="161" t="n">
        <v>40874.04</v>
      </c>
      <c r="Q89" s="161" t="n">
        <f aca="false">R89+S89</f>
        <v>40347.41</v>
      </c>
      <c r="R89" s="161"/>
      <c r="S89" s="162" t="n">
        <v>40347.41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/>
      <c r="G90" s="164" t="s">
        <v>26</v>
      </c>
      <c r="H90" s="153"/>
      <c r="I90" s="165"/>
      <c r="J90" s="165"/>
      <c r="K90" s="166"/>
      <c r="L90" s="166" t="n">
        <f aca="false">M90+N90</f>
        <v>0</v>
      </c>
      <c r="M90" s="166"/>
      <c r="N90" s="167"/>
      <c r="O90" s="168" t="n">
        <v>4</v>
      </c>
      <c r="P90" s="166" t="n">
        <v>15858</v>
      </c>
      <c r="Q90" s="166" t="n">
        <f aca="false">R90+S90</f>
        <v>0</v>
      </c>
      <c r="R90" s="166"/>
      <c r="S90" s="167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72"/>
      <c r="B91" s="73" t="s">
        <v>76</v>
      </c>
      <c r="C91" s="74" t="s">
        <v>20</v>
      </c>
      <c r="D91" s="74" t="s">
        <v>180</v>
      </c>
      <c r="E91" s="74" t="s">
        <v>25</v>
      </c>
      <c r="F91" s="20"/>
      <c r="G91" s="146" t="s">
        <v>22</v>
      </c>
      <c r="H91" s="159" t="n">
        <v>7</v>
      </c>
      <c r="I91" s="148" t="n">
        <v>7</v>
      </c>
      <c r="J91" s="148" t="n">
        <v>7</v>
      </c>
      <c r="K91" s="149" t="n">
        <v>4413.25</v>
      </c>
      <c r="L91" s="149" t="n">
        <f aca="false">M91+N91</f>
        <v>0</v>
      </c>
      <c r="M91" s="149"/>
      <c r="N91" s="150"/>
      <c r="O91" s="151" t="n">
        <v>2</v>
      </c>
      <c r="P91" s="149" t="n">
        <v>12380.09</v>
      </c>
      <c r="Q91" s="149" t="n">
        <f aca="false">R91+S91</f>
        <v>0</v>
      </c>
      <c r="R91" s="149"/>
      <c r="S91" s="15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72"/>
      <c r="B92" s="73"/>
      <c r="C92" s="73"/>
      <c r="D92" s="73"/>
      <c r="E92" s="73"/>
      <c r="F92" s="42" t="s">
        <v>181</v>
      </c>
      <c r="G92" s="164" t="s">
        <v>26</v>
      </c>
      <c r="H92" s="171" t="n">
        <v>5</v>
      </c>
      <c r="I92" s="165"/>
      <c r="J92" s="165"/>
      <c r="K92" s="166"/>
      <c r="L92" s="166" t="n">
        <f aca="false">M92+N92</f>
        <v>0</v>
      </c>
      <c r="M92" s="166"/>
      <c r="N92" s="167"/>
      <c r="O92" s="168" t="n">
        <v>6</v>
      </c>
      <c r="P92" s="166" t="n">
        <v>8457.6</v>
      </c>
      <c r="Q92" s="166" t="n">
        <f aca="false">R92+S92</f>
        <v>0</v>
      </c>
      <c r="R92" s="166"/>
      <c r="S92" s="167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77</v>
      </c>
      <c r="C93" s="19" t="s">
        <v>38</v>
      </c>
      <c r="D93" s="19" t="s">
        <v>78</v>
      </c>
      <c r="E93" s="19" t="s">
        <v>25</v>
      </c>
      <c r="F93" s="22"/>
      <c r="G93" s="146" t="s">
        <v>22</v>
      </c>
      <c r="H93" s="169" t="n">
        <v>5</v>
      </c>
      <c r="I93" s="148" t="n">
        <v>5</v>
      </c>
      <c r="J93" s="148" t="n">
        <v>5</v>
      </c>
      <c r="K93" s="149" t="n">
        <v>2293.24</v>
      </c>
      <c r="L93" s="149" t="n">
        <f aca="false">M93+N93</f>
        <v>2293.24</v>
      </c>
      <c r="M93" s="149"/>
      <c r="N93" s="224" t="n">
        <v>2293.24</v>
      </c>
      <c r="O93" s="151" t="n">
        <v>3</v>
      </c>
      <c r="P93" s="149" t="n">
        <v>1673.9</v>
      </c>
      <c r="Q93" s="149" t="n">
        <f aca="false">R93+S93</f>
        <v>1673.9</v>
      </c>
      <c r="R93" s="149"/>
      <c r="S93" s="150" t="n">
        <v>1673.9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0" t="s">
        <v>182</v>
      </c>
      <c r="G94" s="180" t="s">
        <v>26</v>
      </c>
      <c r="H94" s="159" t="n">
        <v>2</v>
      </c>
      <c r="I94" s="181" t="n">
        <v>1</v>
      </c>
      <c r="J94" s="181" t="n">
        <v>1</v>
      </c>
      <c r="K94" s="182" t="n">
        <v>4581.2</v>
      </c>
      <c r="L94" s="182" t="n">
        <f aca="false">M94+N94</f>
        <v>0</v>
      </c>
      <c r="M94" s="182"/>
      <c r="N94" s="225"/>
      <c r="O94" s="184" t="n">
        <v>6</v>
      </c>
      <c r="P94" s="182" t="n">
        <v>19029.6</v>
      </c>
      <c r="Q94" s="182" t="n">
        <f aca="false">R94+S94</f>
        <v>3347.8</v>
      </c>
      <c r="R94" s="182" t="n">
        <f aca="false">1057.2</f>
        <v>1057.2</v>
      </c>
      <c r="S94" s="183" t="n">
        <f aca="false">2290.6</f>
        <v>2290.6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false" outlineLevel="0" collapsed="false">
      <c r="A95" s="17"/>
      <c r="B95" s="18"/>
      <c r="C95" s="18"/>
      <c r="D95" s="18"/>
      <c r="E95" s="18"/>
      <c r="F95" s="85" t="s">
        <v>237</v>
      </c>
      <c r="G95" s="185" t="s">
        <v>23</v>
      </c>
      <c r="H95" s="186" t="n">
        <v>1</v>
      </c>
      <c r="I95" s="154"/>
      <c r="J95" s="154"/>
      <c r="K95" s="155"/>
      <c r="L95" s="155" t="n">
        <f aca="false">M95+N95</f>
        <v>0</v>
      </c>
      <c r="M95" s="155"/>
      <c r="N95" s="226"/>
      <c r="O95" s="157" t="n">
        <v>4</v>
      </c>
      <c r="P95" s="155" t="n">
        <v>8281.4</v>
      </c>
      <c r="Q95" s="155" t="n">
        <v>1938.2</v>
      </c>
      <c r="R95" s="155" t="n">
        <v>1938.2</v>
      </c>
      <c r="S95" s="156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" hidden="false" customHeight="true" outlineLevel="0" collapsed="false">
      <c r="A96" s="33"/>
      <c r="B96" s="34" t="s">
        <v>79</v>
      </c>
      <c r="C96" s="35" t="s">
        <v>20</v>
      </c>
      <c r="D96" s="35"/>
      <c r="E96" s="35" t="s">
        <v>52</v>
      </c>
      <c r="F96" s="38"/>
      <c r="G96" s="146" t="s">
        <v>22</v>
      </c>
      <c r="H96" s="159" t="n">
        <v>3</v>
      </c>
      <c r="I96" s="160" t="n">
        <v>2</v>
      </c>
      <c r="J96" s="160" t="n">
        <v>3</v>
      </c>
      <c r="K96" s="161" t="n">
        <v>5452.69</v>
      </c>
      <c r="L96" s="161" t="n">
        <f aca="false">M96+N96</f>
        <v>2518.96</v>
      </c>
      <c r="M96" s="161"/>
      <c r="N96" s="162" t="n">
        <v>2518.96</v>
      </c>
      <c r="O96" s="163" t="n">
        <v>4</v>
      </c>
      <c r="P96" s="161" t="n">
        <v>29707.53</v>
      </c>
      <c r="Q96" s="161" t="n">
        <f aca="false">R96+S96</f>
        <v>0</v>
      </c>
      <c r="R96" s="161"/>
      <c r="S96" s="16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33"/>
      <c r="B97" s="34"/>
      <c r="C97" s="34"/>
      <c r="D97" s="34"/>
      <c r="E97" s="34"/>
      <c r="F97" s="42"/>
      <c r="G97" s="164" t="s">
        <v>26</v>
      </c>
      <c r="H97" s="153"/>
      <c r="I97" s="165"/>
      <c r="J97" s="165"/>
      <c r="K97" s="166"/>
      <c r="L97" s="166" t="n">
        <f aca="false">M97+N97</f>
        <v>0</v>
      </c>
      <c r="M97" s="166"/>
      <c r="N97" s="167"/>
      <c r="O97" s="168"/>
      <c r="P97" s="166"/>
      <c r="Q97" s="166" t="n">
        <f aca="false">R97+S97</f>
        <v>0</v>
      </c>
      <c r="R97" s="166"/>
      <c r="S97" s="167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" hidden="false" customHeight="true" outlineLevel="0" collapsed="false">
      <c r="A98" s="72"/>
      <c r="B98" s="73" t="s">
        <v>80</v>
      </c>
      <c r="C98" s="74" t="s">
        <v>20</v>
      </c>
      <c r="D98" s="74"/>
      <c r="E98" s="74" t="s">
        <v>81</v>
      </c>
      <c r="F98" s="20"/>
      <c r="G98" s="146" t="s">
        <v>22</v>
      </c>
      <c r="H98" s="159" t="n">
        <v>2</v>
      </c>
      <c r="I98" s="148" t="n">
        <v>1</v>
      </c>
      <c r="J98" s="148" t="n">
        <v>1</v>
      </c>
      <c r="K98" s="149" t="n">
        <v>3473.61</v>
      </c>
      <c r="L98" s="149" t="n">
        <f aca="false">M98+N98</f>
        <v>3473.61</v>
      </c>
      <c r="M98" s="149" t="n">
        <v>3473.61</v>
      </c>
      <c r="N98" s="150"/>
      <c r="O98" s="151"/>
      <c r="P98" s="149"/>
      <c r="Q98" s="149" t="n">
        <f aca="false">R98+S98</f>
        <v>0</v>
      </c>
      <c r="R98" s="149"/>
      <c r="S98" s="150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72"/>
      <c r="B99" s="73"/>
      <c r="C99" s="73"/>
      <c r="D99" s="73"/>
      <c r="E99" s="73"/>
      <c r="F99" s="42" t="s">
        <v>183</v>
      </c>
      <c r="G99" s="164" t="s">
        <v>26</v>
      </c>
      <c r="H99" s="153"/>
      <c r="I99" s="165"/>
      <c r="J99" s="165"/>
      <c r="K99" s="166"/>
      <c r="L99" s="166" t="n">
        <f aca="false">M99+N99</f>
        <v>0</v>
      </c>
      <c r="M99" s="166"/>
      <c r="N99" s="167"/>
      <c r="O99" s="168"/>
      <c r="P99" s="166"/>
      <c r="Q99" s="166" t="n">
        <f aca="false">R99+S99</f>
        <v>0</v>
      </c>
      <c r="R99" s="166"/>
      <c r="S99" s="167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17"/>
      <c r="B100" s="18" t="s">
        <v>82</v>
      </c>
      <c r="C100" s="19" t="s">
        <v>20</v>
      </c>
      <c r="D100" s="19" t="s">
        <v>184</v>
      </c>
      <c r="E100" s="19" t="s">
        <v>25</v>
      </c>
      <c r="F100" s="22"/>
      <c r="G100" s="146" t="s">
        <v>22</v>
      </c>
      <c r="H100" s="159" t="n">
        <v>17</v>
      </c>
      <c r="I100" s="148" t="n">
        <v>9</v>
      </c>
      <c r="J100" s="148" t="n">
        <v>9</v>
      </c>
      <c r="K100" s="149" t="n">
        <v>5526.53</v>
      </c>
      <c r="L100" s="149" t="n">
        <f aca="false">M100+N100</f>
        <v>2195.46</v>
      </c>
      <c r="M100" s="149"/>
      <c r="N100" s="150" t="n">
        <v>2195.46</v>
      </c>
      <c r="O100" s="151" t="n">
        <v>2</v>
      </c>
      <c r="P100" s="149" t="n">
        <v>8372.97</v>
      </c>
      <c r="Q100" s="149" t="n">
        <f aca="false">R100+S100</f>
        <v>1321.5</v>
      </c>
      <c r="R100" s="149"/>
      <c r="S100" s="150" t="n">
        <v>1321.5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17"/>
      <c r="B101" s="18"/>
      <c r="C101" s="18"/>
      <c r="D101" s="18"/>
      <c r="E101" s="18"/>
      <c r="F101" s="26" t="s">
        <v>185</v>
      </c>
      <c r="G101" s="152" t="s">
        <v>26</v>
      </c>
      <c r="H101" s="153" t="n">
        <v>2</v>
      </c>
      <c r="I101" s="154"/>
      <c r="J101" s="154"/>
      <c r="K101" s="155"/>
      <c r="L101" s="155" t="n">
        <f aca="false">M101+N101</f>
        <v>0</v>
      </c>
      <c r="M101" s="155"/>
      <c r="N101" s="156"/>
      <c r="O101" s="157" t="n">
        <v>1</v>
      </c>
      <c r="P101" s="155" t="n">
        <v>3171.6</v>
      </c>
      <c r="Q101" s="155" t="n">
        <f aca="false">R101+S101</f>
        <v>0</v>
      </c>
      <c r="R101" s="155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17"/>
      <c r="B102" s="18" t="s">
        <v>83</v>
      </c>
      <c r="C102" s="19" t="s">
        <v>20</v>
      </c>
      <c r="D102" s="19"/>
      <c r="E102" s="19" t="s">
        <v>25</v>
      </c>
      <c r="F102" s="20"/>
      <c r="G102" s="146" t="s">
        <v>22</v>
      </c>
      <c r="H102" s="159" t="n">
        <v>8</v>
      </c>
      <c r="I102" s="148" t="n">
        <v>2</v>
      </c>
      <c r="J102" s="148" t="n">
        <v>2</v>
      </c>
      <c r="K102" s="149" t="n">
        <v>1409.6</v>
      </c>
      <c r="L102" s="149" t="n">
        <f aca="false">M102+N102</f>
        <v>704.8</v>
      </c>
      <c r="M102" s="149"/>
      <c r="N102" s="150" t="n">
        <v>704.8</v>
      </c>
      <c r="O102" s="151" t="n">
        <v>2</v>
      </c>
      <c r="P102" s="149" t="n">
        <v>5828.06</v>
      </c>
      <c r="Q102" s="149" t="n">
        <f aca="false">R102+S102</f>
        <v>5828.06</v>
      </c>
      <c r="R102" s="149"/>
      <c r="S102" s="150" t="n">
        <v>5828.06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 t="s">
        <v>186</v>
      </c>
      <c r="G103" s="152" t="s">
        <v>26</v>
      </c>
      <c r="H103" s="153" t="n">
        <v>3</v>
      </c>
      <c r="I103" s="154"/>
      <c r="J103" s="154"/>
      <c r="K103" s="155"/>
      <c r="L103" s="155" t="n">
        <f aca="false">M103+N103</f>
        <v>0</v>
      </c>
      <c r="M103" s="155"/>
      <c r="N103" s="156"/>
      <c r="O103" s="157" t="n">
        <v>1</v>
      </c>
      <c r="P103" s="155" t="n">
        <v>10219.6</v>
      </c>
      <c r="Q103" s="155" t="n">
        <f aca="false">R103+S103</f>
        <v>0</v>
      </c>
      <c r="R103" s="155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33"/>
      <c r="B104" s="34" t="s">
        <v>84</v>
      </c>
      <c r="C104" s="35" t="s">
        <v>20</v>
      </c>
      <c r="D104" s="35"/>
      <c r="E104" s="35" t="s">
        <v>52</v>
      </c>
      <c r="F104" s="36"/>
      <c r="G104" s="146" t="s">
        <v>22</v>
      </c>
      <c r="H104" s="159" t="n">
        <v>14</v>
      </c>
      <c r="I104" s="160" t="n">
        <v>5</v>
      </c>
      <c r="J104" s="160" t="n">
        <v>5</v>
      </c>
      <c r="K104" s="161" t="n">
        <v>8072.6</v>
      </c>
      <c r="L104" s="161" t="n">
        <f aca="false">M104+N104</f>
        <v>1569.94</v>
      </c>
      <c r="M104" s="161"/>
      <c r="N104" s="162" t="n">
        <v>1569.94</v>
      </c>
      <c r="O104" s="163" t="n">
        <v>17</v>
      </c>
      <c r="P104" s="161" t="n">
        <v>25079.05</v>
      </c>
      <c r="Q104" s="161" t="n">
        <f aca="false">R104+S104</f>
        <v>24550.45</v>
      </c>
      <c r="R104" s="161"/>
      <c r="S104" s="162" t="n">
        <v>24550.45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71"/>
      <c r="G105" s="164" t="s">
        <v>26</v>
      </c>
      <c r="H105" s="153"/>
      <c r="I105" s="165"/>
      <c r="J105" s="165"/>
      <c r="K105" s="166"/>
      <c r="L105" s="166" t="n">
        <f aca="false">M105+N105</f>
        <v>0</v>
      </c>
      <c r="M105" s="166"/>
      <c r="N105" s="167"/>
      <c r="O105" s="168"/>
      <c r="P105" s="166"/>
      <c r="Q105" s="166" t="n">
        <f aca="false">R105+S105</f>
        <v>0</v>
      </c>
      <c r="R105" s="166"/>
      <c r="S105" s="167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17"/>
      <c r="B106" s="18" t="s">
        <v>85</v>
      </c>
      <c r="C106" s="19" t="s">
        <v>20</v>
      </c>
      <c r="D106" s="19"/>
      <c r="E106" s="19" t="s">
        <v>25</v>
      </c>
      <c r="F106" s="87"/>
      <c r="G106" s="146" t="s">
        <v>22</v>
      </c>
      <c r="H106" s="169" t="n">
        <v>2</v>
      </c>
      <c r="I106" s="148"/>
      <c r="J106" s="148"/>
      <c r="K106" s="149"/>
      <c r="L106" s="149" t="n">
        <f aca="false">M106+N106</f>
        <v>0</v>
      </c>
      <c r="M106" s="149"/>
      <c r="N106" s="150"/>
      <c r="O106" s="151"/>
      <c r="P106" s="149"/>
      <c r="Q106" s="149" t="n">
        <f aca="false">R106+S106</f>
        <v>0</v>
      </c>
      <c r="R106" s="149"/>
      <c r="S106" s="15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88"/>
      <c r="G107" s="152" t="s">
        <v>26</v>
      </c>
      <c r="H107" s="153"/>
      <c r="I107" s="154"/>
      <c r="J107" s="154"/>
      <c r="K107" s="155"/>
      <c r="L107" s="155" t="n">
        <f aca="false">M107+N107</f>
        <v>0</v>
      </c>
      <c r="M107" s="155"/>
      <c r="N107" s="156"/>
      <c r="O107" s="157"/>
      <c r="P107" s="155"/>
      <c r="Q107" s="155" t="n">
        <f aca="false">R107+S107</f>
        <v>0</v>
      </c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.75" hidden="false" customHeight="true" outlineLevel="0" collapsed="false">
      <c r="A108" s="17"/>
      <c r="B108" s="73" t="s">
        <v>86</v>
      </c>
      <c r="C108" s="74" t="s">
        <v>33</v>
      </c>
      <c r="D108" s="74" t="s">
        <v>87</v>
      </c>
      <c r="E108" s="74" t="s">
        <v>88</v>
      </c>
      <c r="F108" s="20"/>
      <c r="G108" s="146" t="s">
        <v>22</v>
      </c>
      <c r="H108" s="169" t="n">
        <v>13</v>
      </c>
      <c r="I108" s="148" t="n">
        <v>8</v>
      </c>
      <c r="J108" s="148" t="n">
        <v>8</v>
      </c>
      <c r="K108" s="149" t="n">
        <v>7170.21</v>
      </c>
      <c r="L108" s="149" t="n">
        <f aca="false">M108+N108</f>
        <v>6747.33</v>
      </c>
      <c r="M108" s="149" t="n">
        <v>6747.33</v>
      </c>
      <c r="N108" s="150"/>
      <c r="O108" s="151" t="n">
        <v>10</v>
      </c>
      <c r="P108" s="149" t="n">
        <v>8224.14</v>
      </c>
      <c r="Q108" s="149" t="n">
        <f aca="false">R108+S108</f>
        <v>8224.14</v>
      </c>
      <c r="R108" s="149" t="n">
        <v>8224.14</v>
      </c>
      <c r="S108" s="15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73"/>
      <c r="C109" s="73"/>
      <c r="D109" s="73"/>
      <c r="E109" s="73"/>
      <c r="F109" s="42" t="s">
        <v>238</v>
      </c>
      <c r="G109" s="164" t="s">
        <v>23</v>
      </c>
      <c r="H109" s="171" t="n">
        <v>12</v>
      </c>
      <c r="I109" s="165" t="n">
        <v>2</v>
      </c>
      <c r="J109" s="165" t="n">
        <v>2</v>
      </c>
      <c r="K109" s="166" t="n">
        <v>2995.4</v>
      </c>
      <c r="L109" s="166" t="n">
        <f aca="false">M109+N109</f>
        <v>0</v>
      </c>
      <c r="M109" s="166"/>
      <c r="N109" s="167"/>
      <c r="O109" s="168" t="n">
        <v>7</v>
      </c>
      <c r="P109" s="166" t="n">
        <v>15065.1</v>
      </c>
      <c r="Q109" s="166" t="n">
        <v>4316.9</v>
      </c>
      <c r="R109" s="166" t="n">
        <v>4316.9</v>
      </c>
      <c r="S109" s="167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17"/>
      <c r="B110" s="18" t="s">
        <v>89</v>
      </c>
      <c r="C110" s="19" t="s">
        <v>20</v>
      </c>
      <c r="D110" s="19" t="s">
        <v>90</v>
      </c>
      <c r="E110" s="19" t="s">
        <v>42</v>
      </c>
      <c r="F110" s="20"/>
      <c r="G110" s="146" t="s">
        <v>22</v>
      </c>
      <c r="H110" s="159" t="n">
        <v>14</v>
      </c>
      <c r="I110" s="148" t="n">
        <v>2</v>
      </c>
      <c r="J110" s="148" t="n">
        <v>2</v>
      </c>
      <c r="K110" s="149" t="n">
        <v>8527.08</v>
      </c>
      <c r="L110" s="149" t="n">
        <f aca="false">M110+N110</f>
        <v>8527.08</v>
      </c>
      <c r="M110" s="149"/>
      <c r="N110" s="150" t="n">
        <v>8527.08</v>
      </c>
      <c r="O110" s="151" t="n">
        <v>13</v>
      </c>
      <c r="P110" s="149" t="n">
        <v>45706.08</v>
      </c>
      <c r="Q110" s="149" t="n">
        <f aca="false">R110+S110</f>
        <v>24491.76</v>
      </c>
      <c r="R110" s="149" t="n">
        <v>14024.79</v>
      </c>
      <c r="S110" s="150" t="n">
        <v>10466.97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17"/>
      <c r="B111" s="18"/>
      <c r="C111" s="18"/>
      <c r="D111" s="18"/>
      <c r="E111" s="18"/>
      <c r="F111" s="26" t="s">
        <v>239</v>
      </c>
      <c r="G111" s="152" t="s">
        <v>23</v>
      </c>
      <c r="H111" s="153"/>
      <c r="I111" s="154"/>
      <c r="J111" s="154"/>
      <c r="K111" s="155"/>
      <c r="L111" s="155" t="n">
        <f aca="false">M111+N111</f>
        <v>0</v>
      </c>
      <c r="M111" s="155"/>
      <c r="N111" s="156"/>
      <c r="O111" s="157"/>
      <c r="P111" s="155"/>
      <c r="Q111" s="155" t="n">
        <f aca="false">R111+S111</f>
        <v>0</v>
      </c>
      <c r="R111" s="155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.75" hidden="false" customHeight="true" outlineLevel="0" collapsed="false">
      <c r="A112" s="33"/>
      <c r="B112" s="34" t="s">
        <v>91</v>
      </c>
      <c r="C112" s="35" t="s">
        <v>33</v>
      </c>
      <c r="D112" s="35" t="s">
        <v>92</v>
      </c>
      <c r="E112" s="35" t="s">
        <v>25</v>
      </c>
      <c r="F112" s="38" t="s">
        <v>239</v>
      </c>
      <c r="G112" s="146" t="s">
        <v>22</v>
      </c>
      <c r="H112" s="159" t="n">
        <v>13</v>
      </c>
      <c r="I112" s="160" t="n">
        <v>3</v>
      </c>
      <c r="J112" s="160" t="n">
        <v>3</v>
      </c>
      <c r="K112" s="161" t="n">
        <v>4915.98</v>
      </c>
      <c r="L112" s="161" t="n">
        <f aca="false">M112+N112</f>
        <v>3805.92</v>
      </c>
      <c r="M112" s="161"/>
      <c r="N112" s="162" t="n">
        <v>3805.92</v>
      </c>
      <c r="O112" s="163" t="n">
        <v>8</v>
      </c>
      <c r="P112" s="161" t="n">
        <v>57142.54</v>
      </c>
      <c r="Q112" s="161" t="n">
        <f aca="false">R112+S112</f>
        <v>27118.06</v>
      </c>
      <c r="R112" s="161" t="n">
        <v>2537.28</v>
      </c>
      <c r="S112" s="162" t="n">
        <v>24580.78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33"/>
      <c r="B113" s="34"/>
      <c r="C113" s="34"/>
      <c r="D113" s="34"/>
      <c r="E113" s="34"/>
      <c r="F113" s="89"/>
      <c r="G113" s="187" t="s">
        <v>23</v>
      </c>
      <c r="H113" s="169"/>
      <c r="I113" s="188"/>
      <c r="J113" s="188"/>
      <c r="K113" s="189"/>
      <c r="L113" s="189" t="n">
        <f aca="false">M113+N113</f>
        <v>0</v>
      </c>
      <c r="M113" s="189"/>
      <c r="N113" s="190"/>
      <c r="O113" s="191"/>
      <c r="P113" s="189"/>
      <c r="Q113" s="189" t="n">
        <f aca="false">R113+S113</f>
        <v>0</v>
      </c>
      <c r="R113" s="189"/>
      <c r="S113" s="190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33"/>
      <c r="B114" s="34"/>
      <c r="C114" s="34"/>
      <c r="D114" s="34"/>
      <c r="E114" s="34"/>
      <c r="F114" s="42" t="s">
        <v>187</v>
      </c>
      <c r="G114" s="164" t="s">
        <v>26</v>
      </c>
      <c r="H114" s="171" t="n">
        <v>5</v>
      </c>
      <c r="I114" s="165" t="n">
        <v>1</v>
      </c>
      <c r="J114" s="165" t="n">
        <v>1</v>
      </c>
      <c r="K114" s="166" t="n">
        <v>2290.6</v>
      </c>
      <c r="L114" s="166" t="n">
        <f aca="false">M114+N114</f>
        <v>2290.6</v>
      </c>
      <c r="M114" s="166"/>
      <c r="N114" s="167" t="n">
        <v>2290.6</v>
      </c>
      <c r="O114" s="168" t="n">
        <v>6</v>
      </c>
      <c r="P114" s="166" t="n">
        <v>29143.12</v>
      </c>
      <c r="Q114" s="166" t="n">
        <f aca="false">R114+S114</f>
        <v>17655.24</v>
      </c>
      <c r="R114" s="166"/>
      <c r="S114" s="167" t="n">
        <f aca="false">4052.6+5990.8+7611.84</f>
        <v>17655.24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18" t="s">
        <v>93</v>
      </c>
      <c r="C115" s="19" t="s">
        <v>20</v>
      </c>
      <c r="D115" s="49"/>
      <c r="E115" s="19" t="s">
        <v>50</v>
      </c>
      <c r="F115" s="87"/>
      <c r="G115" s="146" t="s">
        <v>22</v>
      </c>
      <c r="H115" s="169" t="n">
        <v>2</v>
      </c>
      <c r="I115" s="148"/>
      <c r="J115" s="148"/>
      <c r="K115" s="149"/>
      <c r="L115" s="149" t="n">
        <f aca="false">M115+N115</f>
        <v>0</v>
      </c>
      <c r="M115" s="149"/>
      <c r="N115" s="150"/>
      <c r="O115" s="151"/>
      <c r="P115" s="149"/>
      <c r="Q115" s="149" t="n">
        <f aca="false">R115+S115</f>
        <v>0</v>
      </c>
      <c r="R115" s="149"/>
      <c r="S115" s="150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.75" hidden="false" customHeight="true" outlineLevel="0" collapsed="false">
      <c r="A116" s="17"/>
      <c r="B116" s="18"/>
      <c r="C116" s="18"/>
      <c r="D116" s="18"/>
      <c r="E116" s="18"/>
      <c r="F116" s="88" t="s">
        <v>188</v>
      </c>
      <c r="G116" s="152" t="s">
        <v>26</v>
      </c>
      <c r="H116" s="171" t="n">
        <v>5</v>
      </c>
      <c r="I116" s="154"/>
      <c r="J116" s="154"/>
      <c r="K116" s="155"/>
      <c r="L116" s="155" t="n">
        <f aca="false">M116+N116</f>
        <v>0</v>
      </c>
      <c r="M116" s="155"/>
      <c r="N116" s="156"/>
      <c r="O116" s="157"/>
      <c r="P116" s="155"/>
      <c r="Q116" s="155" t="n">
        <f aca="false">R116+S116</f>
        <v>0</v>
      </c>
      <c r="R116" s="155"/>
      <c r="S116" s="156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" hidden="false" customHeight="true" outlineLevel="0" collapsed="false">
      <c r="A117" s="54"/>
      <c r="B117" s="55" t="s">
        <v>94</v>
      </c>
      <c r="C117" s="56" t="s">
        <v>20</v>
      </c>
      <c r="D117" s="56"/>
      <c r="E117" s="56" t="s">
        <v>52</v>
      </c>
      <c r="F117" s="36"/>
      <c r="G117" s="158" t="s">
        <v>22</v>
      </c>
      <c r="H117" s="159" t="n">
        <v>6</v>
      </c>
      <c r="I117" s="160" t="n">
        <v>3</v>
      </c>
      <c r="J117" s="160" t="n">
        <v>3</v>
      </c>
      <c r="K117" s="161" t="n">
        <v>2133.78</v>
      </c>
      <c r="L117" s="161" t="n">
        <f aca="false">M117+N117</f>
        <v>563.84</v>
      </c>
      <c r="M117" s="161" t="n">
        <v>563.84</v>
      </c>
      <c r="N117" s="162"/>
      <c r="O117" s="163" t="n">
        <v>5</v>
      </c>
      <c r="P117" s="161" t="n">
        <v>7694.53</v>
      </c>
      <c r="Q117" s="161" t="n">
        <f aca="false">R117+S117</f>
        <v>3894.06</v>
      </c>
      <c r="R117" s="161" t="n">
        <v>3894.06</v>
      </c>
      <c r="S117" s="16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54"/>
      <c r="B118" s="55"/>
      <c r="C118" s="55"/>
      <c r="D118" s="55"/>
      <c r="E118" s="55"/>
      <c r="F118" s="42" t="s">
        <v>189</v>
      </c>
      <c r="G118" s="164" t="s">
        <v>26</v>
      </c>
      <c r="H118" s="171" t="n">
        <v>8</v>
      </c>
      <c r="I118" s="154" t="n">
        <v>1</v>
      </c>
      <c r="J118" s="154" t="n">
        <v>1</v>
      </c>
      <c r="K118" s="155" t="n">
        <v>2446.8</v>
      </c>
      <c r="L118" s="155" t="n">
        <f aca="false">M118+N118</f>
        <v>0</v>
      </c>
      <c r="M118" s="155"/>
      <c r="N118" s="156"/>
      <c r="O118" s="157" t="n">
        <v>2</v>
      </c>
      <c r="P118" s="155" t="n">
        <v>6871.8</v>
      </c>
      <c r="Q118" s="155" t="n">
        <f aca="false">R118+S118</f>
        <v>0</v>
      </c>
      <c r="R118" s="155"/>
      <c r="S118" s="156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 t="s">
        <v>95</v>
      </c>
      <c r="C119" s="35" t="s">
        <v>33</v>
      </c>
      <c r="D119" s="35" t="s">
        <v>96</v>
      </c>
      <c r="E119" s="35" t="s">
        <v>88</v>
      </c>
      <c r="F119" s="22"/>
      <c r="G119" s="146" t="s">
        <v>22</v>
      </c>
      <c r="H119" s="159" t="n">
        <v>14</v>
      </c>
      <c r="I119" s="160" t="n">
        <v>8</v>
      </c>
      <c r="J119" s="192" t="n">
        <v>8</v>
      </c>
      <c r="K119" s="161" t="n">
        <v>11316.44</v>
      </c>
      <c r="L119" s="161" t="n">
        <f aca="false">M119+N119</f>
        <v>11316.44</v>
      </c>
      <c r="M119" s="161" t="n">
        <v>11316.44</v>
      </c>
      <c r="N119" s="162"/>
      <c r="O119" s="163"/>
      <c r="P119" s="161"/>
      <c r="Q119" s="161" t="n">
        <f aca="false">R119+S119</f>
        <v>0</v>
      </c>
      <c r="R119" s="161"/>
      <c r="S119" s="16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240</v>
      </c>
      <c r="G120" s="164" t="s">
        <v>23</v>
      </c>
      <c r="H120" s="171" t="n">
        <v>5</v>
      </c>
      <c r="I120" s="165"/>
      <c r="J120" s="165"/>
      <c r="K120" s="166"/>
      <c r="L120" s="166" t="n">
        <f aca="false">M120+N120</f>
        <v>0</v>
      </c>
      <c r="M120" s="166"/>
      <c r="N120" s="167"/>
      <c r="O120" s="168" t="n">
        <v>1</v>
      </c>
      <c r="P120" s="166" t="n">
        <v>6167</v>
      </c>
      <c r="Q120" s="166" t="n">
        <f aca="false">R120+S120</f>
        <v>0</v>
      </c>
      <c r="R120" s="166"/>
      <c r="S120" s="167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72"/>
      <c r="B121" s="73" t="s">
        <v>97</v>
      </c>
      <c r="C121" s="74" t="s">
        <v>20</v>
      </c>
      <c r="D121" s="74"/>
      <c r="E121" s="74" t="s">
        <v>98</v>
      </c>
      <c r="F121" s="20"/>
      <c r="G121" s="146" t="s">
        <v>22</v>
      </c>
      <c r="H121" s="159" t="n">
        <v>4</v>
      </c>
      <c r="I121" s="148" t="n">
        <v>2</v>
      </c>
      <c r="J121" s="148" t="n">
        <v>2</v>
      </c>
      <c r="K121" s="149" t="n">
        <v>2223.64</v>
      </c>
      <c r="L121" s="149" t="n">
        <f aca="false">M121+N121</f>
        <v>1569.94</v>
      </c>
      <c r="M121" s="149"/>
      <c r="N121" s="150" t="n">
        <v>1569.94</v>
      </c>
      <c r="O121" s="151" t="n">
        <v>6</v>
      </c>
      <c r="P121" s="149" t="n">
        <v>19174.92</v>
      </c>
      <c r="Q121" s="149" t="n">
        <f aca="false">R121+S121</f>
        <v>14088.14</v>
      </c>
      <c r="R121" s="149"/>
      <c r="S121" s="150" t="n">
        <v>14088.14</v>
      </c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72"/>
      <c r="B122" s="73"/>
      <c r="C122" s="73"/>
      <c r="D122" s="73"/>
      <c r="E122" s="73"/>
      <c r="F122" s="42" t="s">
        <v>241</v>
      </c>
      <c r="G122" s="164" t="s">
        <v>23</v>
      </c>
      <c r="H122" s="172" t="n">
        <v>7</v>
      </c>
      <c r="I122" s="165" t="n">
        <v>4</v>
      </c>
      <c r="J122" s="165" t="n">
        <v>4</v>
      </c>
      <c r="K122" s="166" t="n">
        <v>1409.6</v>
      </c>
      <c r="L122" s="166" t="n">
        <f aca="false">M122+N122</f>
        <v>0</v>
      </c>
      <c r="M122" s="166"/>
      <c r="N122" s="167"/>
      <c r="O122" s="168" t="n">
        <v>8</v>
      </c>
      <c r="P122" s="166" t="n">
        <v>16210.4</v>
      </c>
      <c r="Q122" s="166" t="n">
        <v>1233.4</v>
      </c>
      <c r="R122" s="166" t="n">
        <v>1233.4</v>
      </c>
      <c r="S122" s="167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 t="s">
        <v>156</v>
      </c>
      <c r="C123" s="19"/>
      <c r="D123" s="19"/>
      <c r="E123" s="19"/>
      <c r="F123" s="20"/>
      <c r="G123" s="146" t="s">
        <v>22</v>
      </c>
      <c r="H123" s="173" t="n">
        <v>6</v>
      </c>
      <c r="I123" s="148" t="n">
        <v>5</v>
      </c>
      <c r="J123" s="148" t="n">
        <v>5</v>
      </c>
      <c r="K123" s="149" t="n">
        <v>10191.4</v>
      </c>
      <c r="L123" s="149" t="n">
        <f aca="false">M123+N123</f>
        <v>6364.34</v>
      </c>
      <c r="M123" s="149" t="n">
        <v>6364.34</v>
      </c>
      <c r="N123" s="150"/>
      <c r="O123" s="151"/>
      <c r="P123" s="149"/>
      <c r="Q123" s="149" t="n">
        <f aca="false">R123+S123</f>
        <v>0</v>
      </c>
      <c r="R123" s="149"/>
      <c r="S123" s="150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17"/>
      <c r="B124" s="18"/>
      <c r="C124" s="18"/>
      <c r="D124" s="18"/>
      <c r="E124" s="18"/>
      <c r="F124" s="97"/>
      <c r="G124" s="187" t="s">
        <v>26</v>
      </c>
      <c r="H124" s="172" t="n">
        <v>5</v>
      </c>
      <c r="I124" s="188"/>
      <c r="J124" s="188"/>
      <c r="K124" s="189"/>
      <c r="L124" s="189" t="n">
        <f aca="false">M124+N124</f>
        <v>0</v>
      </c>
      <c r="M124" s="189"/>
      <c r="N124" s="190"/>
      <c r="O124" s="191"/>
      <c r="P124" s="189"/>
      <c r="Q124" s="189" t="n">
        <f aca="false">R124+S124</f>
        <v>0</v>
      </c>
      <c r="R124" s="189"/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71"/>
      <c r="G125" s="164" t="s">
        <v>23</v>
      </c>
      <c r="H125" s="177"/>
      <c r="I125" s="165"/>
      <c r="J125" s="165"/>
      <c r="K125" s="166"/>
      <c r="L125" s="166" t="n">
        <f aca="false">M125+N125</f>
        <v>0</v>
      </c>
      <c r="M125" s="166"/>
      <c r="N125" s="167"/>
      <c r="O125" s="168"/>
      <c r="P125" s="166"/>
      <c r="Q125" s="166" t="n">
        <f aca="false">R125+S125</f>
        <v>0</v>
      </c>
      <c r="R125" s="166"/>
      <c r="S125" s="167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 t="s">
        <v>190</v>
      </c>
      <c r="C126" s="19"/>
      <c r="D126" s="19"/>
      <c r="E126" s="19"/>
      <c r="F126" s="20"/>
      <c r="G126" s="146" t="s">
        <v>22</v>
      </c>
      <c r="H126" s="173" t="n">
        <v>4</v>
      </c>
      <c r="I126" s="148"/>
      <c r="J126" s="148"/>
      <c r="K126" s="149"/>
      <c r="L126" s="149" t="n">
        <f aca="false">M126+N126</f>
        <v>0</v>
      </c>
      <c r="M126" s="149"/>
      <c r="N126" s="150"/>
      <c r="O126" s="151"/>
      <c r="P126" s="149"/>
      <c r="Q126" s="149" t="n">
        <f aca="false">R126+S126</f>
        <v>0</v>
      </c>
      <c r="R126" s="149"/>
      <c r="S126" s="15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17"/>
      <c r="B127" s="18"/>
      <c r="C127" s="18"/>
      <c r="D127" s="18"/>
      <c r="E127" s="18"/>
      <c r="F127" s="26" t="s">
        <v>242</v>
      </c>
      <c r="G127" s="152" t="s">
        <v>23</v>
      </c>
      <c r="H127" s="174"/>
      <c r="I127" s="154"/>
      <c r="J127" s="154"/>
      <c r="K127" s="155"/>
      <c r="L127" s="155" t="n">
        <f aca="false">M127+N127</f>
        <v>0</v>
      </c>
      <c r="M127" s="155"/>
      <c r="N127" s="156"/>
      <c r="O127" s="157"/>
      <c r="P127" s="155"/>
      <c r="Q127" s="155" t="n">
        <f aca="false">R127+S127</f>
        <v>0</v>
      </c>
      <c r="R127" s="155"/>
      <c r="S127" s="156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54"/>
      <c r="B128" s="55" t="s">
        <v>99</v>
      </c>
      <c r="C128" s="56" t="s">
        <v>33</v>
      </c>
      <c r="D128" s="56" t="s">
        <v>100</v>
      </c>
      <c r="E128" s="56" t="s">
        <v>101</v>
      </c>
      <c r="F128" s="36"/>
      <c r="G128" s="158" t="s">
        <v>22</v>
      </c>
      <c r="H128" s="159" t="n">
        <v>16</v>
      </c>
      <c r="I128" s="160" t="n">
        <v>13</v>
      </c>
      <c r="J128" s="160" t="n">
        <v>13</v>
      </c>
      <c r="K128" s="161" t="n">
        <v>3832.35</v>
      </c>
      <c r="L128" s="161" t="n">
        <f aca="false">M128+N128</f>
        <v>2378.7</v>
      </c>
      <c r="M128" s="161" t="n">
        <v>396.45</v>
      </c>
      <c r="N128" s="162" t="n">
        <v>1982.25</v>
      </c>
      <c r="O128" s="163" t="n">
        <v>16</v>
      </c>
      <c r="P128" s="161" t="n">
        <v>15751.41</v>
      </c>
      <c r="Q128" s="161" t="n">
        <f aca="false">R128+S128</f>
        <v>13947.56</v>
      </c>
      <c r="R128" s="161" t="n">
        <v>13683.26</v>
      </c>
      <c r="S128" s="162" t="n">
        <v>264.3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54"/>
      <c r="B129" s="55"/>
      <c r="C129" s="55"/>
      <c r="D129" s="55"/>
      <c r="E129" s="55"/>
      <c r="F129" s="80" t="s">
        <v>191</v>
      </c>
      <c r="G129" s="180" t="s">
        <v>26</v>
      </c>
      <c r="H129" s="169" t="n">
        <v>6</v>
      </c>
      <c r="I129" s="181" t="n">
        <v>2</v>
      </c>
      <c r="J129" s="181" t="n">
        <v>2</v>
      </c>
      <c r="K129" s="182" t="n">
        <v>1233.4</v>
      </c>
      <c r="L129" s="182" t="n">
        <f aca="false">M129+N129</f>
        <v>0</v>
      </c>
      <c r="M129" s="182"/>
      <c r="N129" s="183"/>
      <c r="O129" s="184" t="n">
        <v>2</v>
      </c>
      <c r="P129" s="182" t="n">
        <v>5374.1</v>
      </c>
      <c r="Q129" s="161" t="n">
        <f aca="false">R129+S129</f>
        <v>1673.9</v>
      </c>
      <c r="R129" s="182" t="n">
        <v>1673.9</v>
      </c>
      <c r="S129" s="183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42"/>
      <c r="G130" s="164" t="s">
        <v>23</v>
      </c>
      <c r="H130" s="175"/>
      <c r="I130" s="165"/>
      <c r="J130" s="165"/>
      <c r="K130" s="166"/>
      <c r="L130" s="166" t="n">
        <f aca="false">M130+N130</f>
        <v>0</v>
      </c>
      <c r="M130" s="166"/>
      <c r="N130" s="167"/>
      <c r="O130" s="168"/>
      <c r="P130" s="166"/>
      <c r="Q130" s="166" t="n">
        <f aca="false">R130+S130</f>
        <v>0</v>
      </c>
      <c r="R130" s="166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 t="s">
        <v>224</v>
      </c>
      <c r="C131" s="19"/>
      <c r="D131" s="19"/>
      <c r="E131" s="19"/>
      <c r="F131" s="20"/>
      <c r="G131" s="146" t="s">
        <v>22</v>
      </c>
      <c r="H131" s="147" t="n">
        <v>1</v>
      </c>
      <c r="I131" s="148"/>
      <c r="J131" s="148"/>
      <c r="K131" s="149"/>
      <c r="L131" s="149" t="n">
        <f aca="false">M131+N131</f>
        <v>0</v>
      </c>
      <c r="M131" s="149"/>
      <c r="N131" s="150"/>
      <c r="O131" s="151"/>
      <c r="P131" s="149"/>
      <c r="Q131" s="149" t="n">
        <f aca="false">R131+S131</f>
        <v>0</v>
      </c>
      <c r="R131" s="149"/>
      <c r="S131" s="15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/>
      <c r="C132" s="18"/>
      <c r="D132" s="18"/>
      <c r="E132" s="18"/>
      <c r="F132" s="57"/>
      <c r="G132" s="152" t="s">
        <v>26</v>
      </c>
      <c r="H132" s="176" t="n">
        <v>3</v>
      </c>
      <c r="I132" s="154"/>
      <c r="J132" s="154"/>
      <c r="K132" s="155"/>
      <c r="L132" s="155" t="n">
        <f aca="false">M132+N132</f>
        <v>0</v>
      </c>
      <c r="M132" s="155"/>
      <c r="N132" s="156"/>
      <c r="O132" s="157"/>
      <c r="P132" s="155"/>
      <c r="Q132" s="155" t="n">
        <f aca="false">R132+S132</f>
        <v>0</v>
      </c>
      <c r="R132" s="155"/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102</v>
      </c>
      <c r="C133" s="35" t="s">
        <v>20</v>
      </c>
      <c r="D133" s="35"/>
      <c r="E133" s="35" t="s">
        <v>25</v>
      </c>
      <c r="F133" s="36"/>
      <c r="G133" s="158" t="s">
        <v>22</v>
      </c>
      <c r="H133" s="169" t="n">
        <v>12</v>
      </c>
      <c r="I133" s="160" t="n">
        <v>2</v>
      </c>
      <c r="J133" s="160" t="n">
        <v>2</v>
      </c>
      <c r="K133" s="161" t="n">
        <v>1057.2</v>
      </c>
      <c r="L133" s="161" t="n">
        <f aca="false">M133+N133</f>
        <v>0</v>
      </c>
      <c r="M133" s="161"/>
      <c r="N133" s="162"/>
      <c r="O133" s="163" t="n">
        <v>5</v>
      </c>
      <c r="P133" s="161" t="n">
        <v>16301.5</v>
      </c>
      <c r="Q133" s="161" t="n">
        <f aca="false">R133+S133</f>
        <v>649.3</v>
      </c>
      <c r="R133" s="161" t="n">
        <v>649.3</v>
      </c>
      <c r="S133" s="16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192</v>
      </c>
      <c r="G134" s="164" t="s">
        <v>26</v>
      </c>
      <c r="H134" s="153" t="n">
        <v>4</v>
      </c>
      <c r="I134" s="165"/>
      <c r="J134" s="165"/>
      <c r="K134" s="166"/>
      <c r="L134" s="166" t="n">
        <f aca="false">M134+N134</f>
        <v>0</v>
      </c>
      <c r="M134" s="166"/>
      <c r="N134" s="167"/>
      <c r="O134" s="168"/>
      <c r="P134" s="166" t="n">
        <v>2995.4</v>
      </c>
      <c r="Q134" s="166" t="n">
        <f aca="false">R134+S134</f>
        <v>0</v>
      </c>
      <c r="R134" s="166"/>
      <c r="S134" s="167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" hidden="false" customHeight="true" outlineLevel="0" collapsed="false">
      <c r="A135" s="17"/>
      <c r="B135" s="18" t="s">
        <v>103</v>
      </c>
      <c r="C135" s="19" t="s">
        <v>20</v>
      </c>
      <c r="D135" s="19"/>
      <c r="E135" s="19" t="s">
        <v>52</v>
      </c>
      <c r="F135" s="20"/>
      <c r="G135" s="146" t="s">
        <v>22</v>
      </c>
      <c r="H135" s="169" t="n">
        <v>1</v>
      </c>
      <c r="I135" s="148"/>
      <c r="J135" s="148"/>
      <c r="K135" s="149"/>
      <c r="L135" s="149" t="n">
        <f aca="false">M135+N135</f>
        <v>0</v>
      </c>
      <c r="M135" s="149"/>
      <c r="N135" s="150"/>
      <c r="O135" s="151" t="n">
        <v>3</v>
      </c>
      <c r="P135" s="149" t="n">
        <v>15061.01</v>
      </c>
      <c r="Q135" s="149" t="n">
        <f aca="false">R135+S135</f>
        <v>10162.24</v>
      </c>
      <c r="R135" s="149"/>
      <c r="S135" s="150" t="n">
        <v>10162.24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/>
      <c r="C136" s="18"/>
      <c r="D136" s="18"/>
      <c r="E136" s="18"/>
      <c r="F136" s="26" t="s">
        <v>193</v>
      </c>
      <c r="G136" s="152" t="s">
        <v>26</v>
      </c>
      <c r="H136" s="171" t="n">
        <v>8</v>
      </c>
      <c r="I136" s="154"/>
      <c r="J136" s="154"/>
      <c r="K136" s="155"/>
      <c r="L136" s="155" t="n">
        <f aca="false">M136+N136</f>
        <v>0</v>
      </c>
      <c r="M136" s="155"/>
      <c r="N136" s="156"/>
      <c r="O136" s="157" t="n">
        <v>3</v>
      </c>
      <c r="P136" s="155" t="n">
        <v>10396.4</v>
      </c>
      <c r="Q136" s="155" t="n">
        <f aca="false">R136+S136</f>
        <v>0</v>
      </c>
      <c r="R136" s="155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" hidden="false" customHeight="true" outlineLevel="0" collapsed="false">
      <c r="A137" s="54"/>
      <c r="B137" s="55" t="s">
        <v>104</v>
      </c>
      <c r="C137" s="56" t="s">
        <v>20</v>
      </c>
      <c r="D137" s="56"/>
      <c r="E137" s="56" t="s">
        <v>25</v>
      </c>
      <c r="F137" s="22"/>
      <c r="G137" s="146" t="s">
        <v>22</v>
      </c>
      <c r="H137" s="169"/>
      <c r="I137" s="160"/>
      <c r="J137" s="160"/>
      <c r="K137" s="161"/>
      <c r="L137" s="161" t="n">
        <f aca="false">M137+N137</f>
        <v>0</v>
      </c>
      <c r="M137" s="161"/>
      <c r="N137" s="162"/>
      <c r="O137" s="163"/>
      <c r="P137" s="161"/>
      <c r="Q137" s="161" t="n">
        <f aca="false">R137+S137</f>
        <v>0</v>
      </c>
      <c r="R137" s="161"/>
      <c r="S137" s="16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54"/>
      <c r="B138" s="55"/>
      <c r="C138" s="55"/>
      <c r="D138" s="55"/>
      <c r="E138" s="55"/>
      <c r="F138" s="57"/>
      <c r="G138" s="152" t="s">
        <v>26</v>
      </c>
      <c r="H138" s="153"/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105</v>
      </c>
      <c r="C139" s="35" t="s">
        <v>33</v>
      </c>
      <c r="D139" s="35" t="s">
        <v>106</v>
      </c>
      <c r="E139" s="35" t="s">
        <v>107</v>
      </c>
      <c r="F139" s="36"/>
      <c r="G139" s="146" t="s">
        <v>22</v>
      </c>
      <c r="H139" s="169"/>
      <c r="I139" s="160"/>
      <c r="J139" s="160"/>
      <c r="K139" s="161"/>
      <c r="L139" s="161" t="n">
        <f aca="false">M139+N139</f>
        <v>0</v>
      </c>
      <c r="M139" s="161"/>
      <c r="N139" s="162"/>
      <c r="O139" s="163" t="n">
        <v>6</v>
      </c>
      <c r="P139" s="161" t="n">
        <v>14967.24</v>
      </c>
      <c r="Q139" s="161" t="n">
        <f aca="false">R139+S139</f>
        <v>7780.05</v>
      </c>
      <c r="R139" s="161" t="n">
        <v>7780.05</v>
      </c>
      <c r="S139" s="16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194</v>
      </c>
      <c r="G140" s="164" t="s">
        <v>26</v>
      </c>
      <c r="H140" s="153" t="n">
        <v>1</v>
      </c>
      <c r="I140" s="165"/>
      <c r="J140" s="165"/>
      <c r="K140" s="166"/>
      <c r="L140" s="161" t="n">
        <f aca="false">M140+N140</f>
        <v>0</v>
      </c>
      <c r="M140" s="166" t="n">
        <v>0</v>
      </c>
      <c r="N140" s="167"/>
      <c r="O140" s="168" t="n">
        <v>6</v>
      </c>
      <c r="P140" s="166" t="n">
        <v>23645.16</v>
      </c>
      <c r="Q140" s="166" t="n">
        <f aca="false">R140+S140</f>
        <v>881</v>
      </c>
      <c r="R140" s="166" t="n">
        <f aca="false">881</f>
        <v>881</v>
      </c>
      <c r="S140" s="167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72"/>
      <c r="B141" s="73" t="s">
        <v>108</v>
      </c>
      <c r="C141" s="74" t="s">
        <v>33</v>
      </c>
      <c r="D141" s="74" t="s">
        <v>109</v>
      </c>
      <c r="E141" s="74" t="s">
        <v>25</v>
      </c>
      <c r="F141" s="20"/>
      <c r="G141" s="146" t="s">
        <v>22</v>
      </c>
      <c r="H141" s="159" t="n">
        <v>6</v>
      </c>
      <c r="I141" s="148" t="n">
        <v>5</v>
      </c>
      <c r="J141" s="148" t="n">
        <v>6</v>
      </c>
      <c r="K141" s="149" t="n">
        <v>11519.11</v>
      </c>
      <c r="L141" s="149" t="n">
        <f aca="false">M141+N141</f>
        <v>0</v>
      </c>
      <c r="M141" s="149"/>
      <c r="N141" s="224"/>
      <c r="O141" s="151" t="n">
        <v>15</v>
      </c>
      <c r="P141" s="149" t="n">
        <v>34418.78</v>
      </c>
      <c r="Q141" s="149" t="n">
        <f aca="false">R141+S141</f>
        <v>3347.8</v>
      </c>
      <c r="R141" s="149" t="n">
        <v>3347.8</v>
      </c>
      <c r="S141" s="15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72"/>
      <c r="B142" s="73"/>
      <c r="C142" s="73"/>
      <c r="D142" s="73"/>
      <c r="E142" s="73"/>
      <c r="F142" s="42" t="s">
        <v>195</v>
      </c>
      <c r="G142" s="164" t="s">
        <v>26</v>
      </c>
      <c r="H142" s="171" t="n">
        <v>6</v>
      </c>
      <c r="I142" s="165" t="n">
        <v>1</v>
      </c>
      <c r="J142" s="165" t="n">
        <v>1</v>
      </c>
      <c r="K142" s="166" t="n">
        <v>11699.68</v>
      </c>
      <c r="L142" s="166" t="n">
        <f aca="false">M142+N142</f>
        <v>0</v>
      </c>
      <c r="M142" s="166"/>
      <c r="N142" s="227"/>
      <c r="O142" s="157" t="n">
        <v>8</v>
      </c>
      <c r="P142" s="155" t="n">
        <v>30218.3</v>
      </c>
      <c r="Q142" s="155" t="n">
        <f aca="false">R142+S142</f>
        <v>15329.4</v>
      </c>
      <c r="R142" s="155" t="n">
        <f aca="false">2643</f>
        <v>2643</v>
      </c>
      <c r="S142" s="156" t="n">
        <f aca="false">12686.4</f>
        <v>12686.4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17"/>
      <c r="B143" s="18" t="s">
        <v>110</v>
      </c>
      <c r="C143" s="19" t="s">
        <v>33</v>
      </c>
      <c r="D143" s="19" t="s">
        <v>111</v>
      </c>
      <c r="E143" s="19" t="s">
        <v>25</v>
      </c>
      <c r="F143" s="20"/>
      <c r="G143" s="146" t="s">
        <v>22</v>
      </c>
      <c r="H143" s="159" t="n">
        <v>16</v>
      </c>
      <c r="I143" s="148" t="n">
        <v>15</v>
      </c>
      <c r="J143" s="193" t="n">
        <v>16</v>
      </c>
      <c r="K143" s="149" t="n">
        <v>15755.63</v>
      </c>
      <c r="L143" s="149" t="n">
        <f aca="false">M143+N143</f>
        <v>1494.18</v>
      </c>
      <c r="M143" s="149" t="n">
        <v>1494.18</v>
      </c>
      <c r="N143" s="150"/>
      <c r="O143" s="163" t="n">
        <v>11</v>
      </c>
      <c r="P143" s="161" t="n">
        <v>39258.64</v>
      </c>
      <c r="Q143" s="161" t="n">
        <f aca="false">R143+S143</f>
        <v>8854.81</v>
      </c>
      <c r="R143" s="161" t="n">
        <v>8854.81</v>
      </c>
      <c r="S143" s="16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17"/>
      <c r="B144" s="18"/>
      <c r="C144" s="18"/>
      <c r="D144" s="18"/>
      <c r="E144" s="18"/>
      <c r="F144" s="26" t="s">
        <v>196</v>
      </c>
      <c r="G144" s="152" t="s">
        <v>26</v>
      </c>
      <c r="H144" s="153" t="n">
        <v>0</v>
      </c>
      <c r="I144" s="154" t="n">
        <v>0</v>
      </c>
      <c r="J144" s="154" t="n">
        <v>0</v>
      </c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112</v>
      </c>
      <c r="C145" s="35" t="s">
        <v>20</v>
      </c>
      <c r="D145" s="35" t="s">
        <v>197</v>
      </c>
      <c r="E145" s="35" t="s">
        <v>25</v>
      </c>
      <c r="F145" s="36"/>
      <c r="G145" s="146" t="s">
        <v>22</v>
      </c>
      <c r="H145" s="159" t="n">
        <v>6</v>
      </c>
      <c r="I145" s="160" t="n">
        <v>5</v>
      </c>
      <c r="J145" s="160" t="n">
        <v>6</v>
      </c>
      <c r="K145" s="140" t="n">
        <v>22386.19</v>
      </c>
      <c r="L145" s="140" t="n">
        <f aca="false">M145+N145</f>
        <v>1162.92</v>
      </c>
      <c r="M145" s="140" t="n">
        <v>1162.92</v>
      </c>
      <c r="N145" s="162"/>
      <c r="O145" s="163" t="n">
        <v>2</v>
      </c>
      <c r="P145" s="161" t="n">
        <v>3754.26</v>
      </c>
      <c r="Q145" s="161" t="n">
        <f aca="false">R145+S145</f>
        <v>0</v>
      </c>
      <c r="R145" s="161"/>
      <c r="S145" s="16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26" t="s">
        <v>198</v>
      </c>
      <c r="G146" s="152" t="s">
        <v>26</v>
      </c>
      <c r="H146" s="171" t="n">
        <v>2</v>
      </c>
      <c r="I146" s="165"/>
      <c r="J146" s="165"/>
      <c r="K146" s="166"/>
      <c r="L146" s="166" t="n">
        <f aca="false">M146+N146</f>
        <v>0</v>
      </c>
      <c r="M146" s="166"/>
      <c r="N146" s="167"/>
      <c r="O146" s="168" t="n">
        <v>1</v>
      </c>
      <c r="P146" s="166" t="n">
        <v>2114.4</v>
      </c>
      <c r="Q146" s="166" t="n">
        <f aca="false">R146+S146</f>
        <v>0</v>
      </c>
      <c r="R146" s="166"/>
      <c r="S146" s="167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17"/>
      <c r="B147" s="18" t="s">
        <v>113</v>
      </c>
      <c r="C147" s="19" t="s">
        <v>20</v>
      </c>
      <c r="D147" s="19"/>
      <c r="E147" s="19" t="s">
        <v>31</v>
      </c>
      <c r="F147" s="36"/>
      <c r="G147" s="146" t="s">
        <v>22</v>
      </c>
      <c r="H147" s="159" t="n">
        <v>6</v>
      </c>
      <c r="I147" s="148" t="n">
        <v>3</v>
      </c>
      <c r="J147" s="148" t="n">
        <v>4</v>
      </c>
      <c r="K147" s="149" t="n">
        <v>7903.02</v>
      </c>
      <c r="L147" s="149" t="n">
        <f aca="false">M147+N147</f>
        <v>4858.85</v>
      </c>
      <c r="M147" s="149" t="n">
        <v>4858.85</v>
      </c>
      <c r="N147" s="150"/>
      <c r="O147" s="151" t="n">
        <v>4</v>
      </c>
      <c r="P147" s="149" t="n">
        <v>3839.24</v>
      </c>
      <c r="Q147" s="149" t="n">
        <f aca="false">R147+S147</f>
        <v>3839.24</v>
      </c>
      <c r="R147" s="149" t="n">
        <v>1583.16</v>
      </c>
      <c r="S147" s="150" t="n">
        <v>2256.08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17"/>
      <c r="B148" s="18"/>
      <c r="C148" s="18"/>
      <c r="D148" s="18"/>
      <c r="E148" s="18"/>
      <c r="F148" s="57"/>
      <c r="G148" s="152" t="s">
        <v>26</v>
      </c>
      <c r="H148" s="153"/>
      <c r="I148" s="154"/>
      <c r="J148" s="154"/>
      <c r="K148" s="155"/>
      <c r="L148" s="155" t="n">
        <f aca="false">M148+N148</f>
        <v>0</v>
      </c>
      <c r="M148" s="155"/>
      <c r="N148" s="156"/>
      <c r="O148" s="157"/>
      <c r="P148" s="155"/>
      <c r="Q148" s="155" t="n">
        <f aca="false">R148+S148</f>
        <v>0</v>
      </c>
      <c r="R148" s="155"/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33"/>
      <c r="B149" s="34" t="s">
        <v>114</v>
      </c>
      <c r="C149" s="35" t="s">
        <v>20</v>
      </c>
      <c r="D149" s="95"/>
      <c r="E149" s="35" t="s">
        <v>25</v>
      </c>
      <c r="F149" s="71"/>
      <c r="G149" s="146" t="s">
        <v>22</v>
      </c>
      <c r="H149" s="169"/>
      <c r="I149" s="160"/>
      <c r="J149" s="160"/>
      <c r="K149" s="161"/>
      <c r="L149" s="161" t="n">
        <f aca="false">M149+N149</f>
        <v>0</v>
      </c>
      <c r="M149" s="161"/>
      <c r="N149" s="162"/>
      <c r="O149" s="163"/>
      <c r="P149" s="161"/>
      <c r="Q149" s="161" t="n">
        <f aca="false">R149+S149</f>
        <v>0</v>
      </c>
      <c r="R149" s="161"/>
      <c r="S149" s="16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33"/>
      <c r="B150" s="34"/>
      <c r="C150" s="34"/>
      <c r="D150" s="34"/>
      <c r="E150" s="34"/>
      <c r="F150" s="42" t="s">
        <v>199</v>
      </c>
      <c r="G150" s="164" t="s">
        <v>26</v>
      </c>
      <c r="H150" s="175" t="n">
        <v>2</v>
      </c>
      <c r="I150" s="165"/>
      <c r="J150" s="165"/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18" t="s">
        <v>243</v>
      </c>
      <c r="C151" s="219"/>
      <c r="D151" s="19"/>
      <c r="E151" s="19"/>
      <c r="F151" s="20"/>
      <c r="G151" s="146" t="s">
        <v>22</v>
      </c>
      <c r="H151" s="173"/>
      <c r="I151" s="148"/>
      <c r="J151" s="148"/>
      <c r="K151" s="149"/>
      <c r="L151" s="149" t="n">
        <f aca="false">M151+N151</f>
        <v>0</v>
      </c>
      <c r="M151" s="149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18"/>
      <c r="C152" s="18"/>
      <c r="D152" s="18"/>
      <c r="E152" s="18"/>
      <c r="F152" s="57"/>
      <c r="G152" s="152" t="s">
        <v>26</v>
      </c>
      <c r="H152" s="174" t="n">
        <v>2</v>
      </c>
      <c r="I152" s="154"/>
      <c r="J152" s="154"/>
      <c r="K152" s="155"/>
      <c r="L152" s="155" t="n">
        <f aca="false">M152+N152</f>
        <v>0</v>
      </c>
      <c r="M152" s="155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54"/>
      <c r="B153" s="55" t="s">
        <v>200</v>
      </c>
      <c r="C153" s="220"/>
      <c r="D153" s="56"/>
      <c r="E153" s="56"/>
      <c r="F153" s="36"/>
      <c r="G153" s="158" t="s">
        <v>22</v>
      </c>
      <c r="H153" s="159" t="n">
        <v>13</v>
      </c>
      <c r="I153" s="160" t="n">
        <v>9</v>
      </c>
      <c r="J153" s="160" t="n">
        <v>9</v>
      </c>
      <c r="K153" s="161" t="n">
        <v>4517.24</v>
      </c>
      <c r="L153" s="161" t="n">
        <f aca="false">M153+N153</f>
        <v>0</v>
      </c>
      <c r="M153" s="161"/>
      <c r="N153" s="162"/>
      <c r="O153" s="163"/>
      <c r="P153" s="161"/>
      <c r="Q153" s="161" t="n">
        <f aca="false">R153+S153</f>
        <v>0</v>
      </c>
      <c r="R153" s="161"/>
      <c r="S153" s="16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57"/>
      <c r="G154" s="152" t="s">
        <v>26</v>
      </c>
      <c r="H154" s="174" t="n">
        <v>4</v>
      </c>
      <c r="I154" s="154" t="n">
        <v>2</v>
      </c>
      <c r="J154" s="154" t="n">
        <v>2</v>
      </c>
      <c r="K154" s="155" t="n">
        <v>2466.8</v>
      </c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54"/>
      <c r="B155" s="55" t="s">
        <v>115</v>
      </c>
      <c r="C155" s="56" t="s">
        <v>20</v>
      </c>
      <c r="D155" s="56"/>
      <c r="E155" s="56" t="s">
        <v>116</v>
      </c>
      <c r="F155" s="36"/>
      <c r="G155" s="158" t="s">
        <v>22</v>
      </c>
      <c r="H155" s="159" t="n">
        <v>9</v>
      </c>
      <c r="I155" s="160" t="n">
        <v>5</v>
      </c>
      <c r="J155" s="160" t="n">
        <v>5</v>
      </c>
      <c r="K155" s="161" t="n">
        <v>2886.16</v>
      </c>
      <c r="L155" s="161" t="n">
        <f aca="false">M155+N155</f>
        <v>264.3</v>
      </c>
      <c r="M155" s="161" t="n">
        <v>264.3</v>
      </c>
      <c r="N155" s="162"/>
      <c r="O155" s="163" t="n">
        <v>11</v>
      </c>
      <c r="P155" s="161" t="n">
        <v>7909.11</v>
      </c>
      <c r="Q155" s="161" t="n">
        <f aca="false">R155+S155</f>
        <v>4414.68</v>
      </c>
      <c r="R155" s="161" t="n">
        <v>4414.68</v>
      </c>
      <c r="S155" s="16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54"/>
      <c r="B156" s="55"/>
      <c r="C156" s="55"/>
      <c r="D156" s="55"/>
      <c r="E156" s="55"/>
      <c r="F156" s="42" t="s">
        <v>201</v>
      </c>
      <c r="G156" s="164" t="s">
        <v>26</v>
      </c>
      <c r="H156" s="172" t="n">
        <v>6</v>
      </c>
      <c r="I156" s="165" t="n">
        <v>1</v>
      </c>
      <c r="J156" s="165" t="n">
        <v>1</v>
      </c>
      <c r="K156" s="166" t="n">
        <v>5286</v>
      </c>
      <c r="L156" s="161" t="n">
        <f aca="false">M156+N156</f>
        <v>0</v>
      </c>
      <c r="M156" s="166" t="n">
        <v>0</v>
      </c>
      <c r="N156" s="167"/>
      <c r="O156" s="168" t="n">
        <v>8</v>
      </c>
      <c r="P156" s="166" t="n">
        <v>881</v>
      </c>
      <c r="Q156" s="166" t="n">
        <f aca="false">R156+S156</f>
        <v>881</v>
      </c>
      <c r="R156" s="166" t="n">
        <f aca="false">881</f>
        <v>881</v>
      </c>
      <c r="S156" s="167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17"/>
      <c r="B157" s="18" t="s">
        <v>157</v>
      </c>
      <c r="C157" s="19"/>
      <c r="D157" s="19"/>
      <c r="E157" s="127"/>
      <c r="F157" s="22"/>
      <c r="G157" s="146" t="s">
        <v>22</v>
      </c>
      <c r="H157" s="147" t="n">
        <v>3</v>
      </c>
      <c r="I157" s="148" t="n">
        <v>1</v>
      </c>
      <c r="J157" s="148" t="n">
        <v>1</v>
      </c>
      <c r="K157" s="149" t="n">
        <v>3876.4</v>
      </c>
      <c r="L157" s="149" t="n">
        <f aca="false">M157+N157</f>
        <v>0</v>
      </c>
      <c r="M157" s="149"/>
      <c r="N157" s="150"/>
      <c r="O157" s="151"/>
      <c r="P157" s="149"/>
      <c r="Q157" s="149" t="n">
        <f aca="false">R157+S157</f>
        <v>0</v>
      </c>
      <c r="R157" s="149"/>
      <c r="S157" s="15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" hidden="false" customHeight="false" outlineLevel="0" collapsed="false">
      <c r="A158" s="17"/>
      <c r="B158" s="18"/>
      <c r="C158" s="18"/>
      <c r="D158" s="18"/>
      <c r="E158" s="127"/>
      <c r="F158" s="26" t="s">
        <v>202</v>
      </c>
      <c r="G158" s="152" t="s">
        <v>26</v>
      </c>
      <c r="H158" s="176" t="n">
        <v>1</v>
      </c>
      <c r="I158" s="154"/>
      <c r="J158" s="154"/>
      <c r="K158" s="155"/>
      <c r="L158" s="155" t="n">
        <f aca="false">M158+N158</f>
        <v>0</v>
      </c>
      <c r="M158" s="155"/>
      <c r="N158" s="156"/>
      <c r="O158" s="157"/>
      <c r="P158" s="155"/>
      <c r="Q158" s="155" t="n">
        <f aca="false">R158+S158</f>
        <v>1762</v>
      </c>
      <c r="R158" s="155"/>
      <c r="S158" s="156" t="n">
        <f aca="false">1233.4+528.6</f>
        <v>1762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33"/>
      <c r="B159" s="34" t="s">
        <v>117</v>
      </c>
      <c r="C159" s="35" t="s">
        <v>33</v>
      </c>
      <c r="D159" s="35" t="s">
        <v>118</v>
      </c>
      <c r="E159" s="74" t="s">
        <v>25</v>
      </c>
      <c r="F159" s="89"/>
      <c r="G159" s="158" t="s">
        <v>22</v>
      </c>
      <c r="H159" s="169"/>
      <c r="I159" s="160"/>
      <c r="J159" s="160"/>
      <c r="K159" s="161"/>
      <c r="L159" s="161" t="n">
        <f aca="false">M159+N159</f>
        <v>0</v>
      </c>
      <c r="M159" s="161"/>
      <c r="N159" s="162"/>
      <c r="O159" s="163"/>
      <c r="P159" s="161"/>
      <c r="Q159" s="161" t="n">
        <f aca="false">R159+S159</f>
        <v>0</v>
      </c>
      <c r="R159" s="161"/>
      <c r="S159" s="16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" hidden="false" customHeight="false" outlineLevel="0" collapsed="false">
      <c r="A160" s="33"/>
      <c r="B160" s="34"/>
      <c r="C160" s="34"/>
      <c r="D160" s="34"/>
      <c r="E160" s="34"/>
      <c r="F160" s="42"/>
      <c r="G160" s="158" t="s">
        <v>23</v>
      </c>
      <c r="H160" s="169"/>
      <c r="I160" s="160"/>
      <c r="J160" s="160"/>
      <c r="K160" s="161"/>
      <c r="L160" s="161" t="n">
        <f aca="false">M160+N160</f>
        <v>0</v>
      </c>
      <c r="M160" s="161"/>
      <c r="N160" s="162"/>
      <c r="O160" s="163"/>
      <c r="P160" s="161"/>
      <c r="Q160" s="161" t="n">
        <f aca="false">R160+S160</f>
        <v>0</v>
      </c>
      <c r="R160" s="161"/>
      <c r="S160" s="16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false" outlineLevel="0" collapsed="false">
      <c r="A161" s="33"/>
      <c r="B161" s="34"/>
      <c r="C161" s="34"/>
      <c r="D161" s="34"/>
      <c r="E161" s="34"/>
      <c r="F161" s="42"/>
      <c r="G161" s="164" t="s">
        <v>26</v>
      </c>
      <c r="H161" s="153"/>
      <c r="I161" s="165"/>
      <c r="J161" s="165"/>
      <c r="K161" s="166"/>
      <c r="L161" s="166" t="n">
        <f aca="false">M161+N161</f>
        <v>0</v>
      </c>
      <c r="M161" s="166"/>
      <c r="N161" s="167"/>
      <c r="O161" s="168" t="n">
        <v>5</v>
      </c>
      <c r="P161" s="166" t="n">
        <v>4845.5</v>
      </c>
      <c r="Q161" s="166" t="n">
        <f aca="false">R161+S161</f>
        <v>0</v>
      </c>
      <c r="R161" s="166"/>
      <c r="S161" s="167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" hidden="false" customHeight="true" outlineLevel="0" collapsed="false">
      <c r="A162" s="17"/>
      <c r="B162" s="18" t="s">
        <v>119</v>
      </c>
      <c r="C162" s="19" t="s">
        <v>20</v>
      </c>
      <c r="D162" s="19"/>
      <c r="E162" s="19" t="s">
        <v>25</v>
      </c>
      <c r="F162" s="20"/>
      <c r="G162" s="146" t="s">
        <v>22</v>
      </c>
      <c r="H162" s="169"/>
      <c r="I162" s="148"/>
      <c r="J162" s="148"/>
      <c r="K162" s="149"/>
      <c r="L162" s="149" t="n">
        <f aca="false">M162+N162</f>
        <v>0</v>
      </c>
      <c r="M162" s="149"/>
      <c r="N162" s="150"/>
      <c r="O162" s="151" t="n">
        <v>2</v>
      </c>
      <c r="P162" s="149" t="n">
        <v>2643</v>
      </c>
      <c r="Q162" s="149" t="n">
        <f aca="false">R162+S162</f>
        <v>2643</v>
      </c>
      <c r="R162" s="149"/>
      <c r="S162" s="150" t="n">
        <v>2643</v>
      </c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18"/>
      <c r="C163" s="18"/>
      <c r="D163" s="18"/>
      <c r="E163" s="18"/>
      <c r="F163" s="42" t="s">
        <v>203</v>
      </c>
      <c r="G163" s="164" t="s">
        <v>26</v>
      </c>
      <c r="H163" s="175" t="n">
        <v>3</v>
      </c>
      <c r="I163" s="165" t="n">
        <v>1</v>
      </c>
      <c r="J163" s="165" t="n">
        <v>1</v>
      </c>
      <c r="K163" s="166" t="n">
        <v>704.8</v>
      </c>
      <c r="L163" s="166" t="n">
        <f aca="false">M163+N163</f>
        <v>0</v>
      </c>
      <c r="M163" s="166" t="n">
        <v>0</v>
      </c>
      <c r="N163" s="167"/>
      <c r="O163" s="168" t="n">
        <v>1</v>
      </c>
      <c r="P163" s="166" t="n">
        <v>3524</v>
      </c>
      <c r="Q163" s="166" t="n">
        <f aca="false">R163+S163</f>
        <v>881</v>
      </c>
      <c r="R163" s="166" t="n">
        <f aca="false">881</f>
        <v>881</v>
      </c>
      <c r="S163" s="167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" hidden="false" customHeight="true" outlineLevel="0" collapsed="false">
      <c r="A164" s="17"/>
      <c r="B164" s="18" t="s">
        <v>225</v>
      </c>
      <c r="C164" s="19"/>
      <c r="D164" s="19"/>
      <c r="E164" s="19"/>
      <c r="F164" s="20"/>
      <c r="G164" s="146" t="s">
        <v>22</v>
      </c>
      <c r="H164" s="147"/>
      <c r="I164" s="148"/>
      <c r="J164" s="148"/>
      <c r="K164" s="149"/>
      <c r="L164" s="149" t="n">
        <f aca="false">M164+N164</f>
        <v>0</v>
      </c>
      <c r="M164" s="149"/>
      <c r="N164" s="150"/>
      <c r="O164" s="151"/>
      <c r="P164" s="149"/>
      <c r="Q164" s="149" t="n">
        <f aca="false">R164+S164</f>
        <v>0</v>
      </c>
      <c r="R164" s="149"/>
      <c r="S164" s="150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false" outlineLevel="0" collapsed="false">
      <c r="A165" s="17"/>
      <c r="B165" s="18"/>
      <c r="C165" s="18"/>
      <c r="D165" s="18"/>
      <c r="E165" s="18"/>
      <c r="F165" s="26" t="s">
        <v>244</v>
      </c>
      <c r="G165" s="152" t="s">
        <v>23</v>
      </c>
      <c r="H165" s="176" t="n">
        <v>5</v>
      </c>
      <c r="I165" s="154"/>
      <c r="J165" s="154"/>
      <c r="K165" s="155"/>
      <c r="L165" s="155" t="n">
        <f aca="false">M165+N165</f>
        <v>0</v>
      </c>
      <c r="M165" s="155"/>
      <c r="N165" s="156"/>
      <c r="O165" s="157"/>
      <c r="P165" s="155"/>
      <c r="Q165" s="155" t="n">
        <f aca="false">R165+S165</f>
        <v>0</v>
      </c>
      <c r="R165" s="155"/>
      <c r="S165" s="156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true" outlineLevel="0" collapsed="false">
      <c r="A166" s="54"/>
      <c r="B166" s="55" t="s">
        <v>120</v>
      </c>
      <c r="C166" s="56" t="s">
        <v>20</v>
      </c>
      <c r="D166" s="56"/>
      <c r="E166" s="56" t="s">
        <v>25</v>
      </c>
      <c r="F166" s="36"/>
      <c r="G166" s="158" t="s">
        <v>22</v>
      </c>
      <c r="H166" s="169"/>
      <c r="I166" s="160"/>
      <c r="J166" s="160"/>
      <c r="K166" s="161"/>
      <c r="L166" s="161" t="n">
        <f aca="false">M166+N166</f>
        <v>0</v>
      </c>
      <c r="M166" s="161"/>
      <c r="N166" s="162"/>
      <c r="O166" s="163" t="n">
        <v>3</v>
      </c>
      <c r="P166" s="161" t="n">
        <v>3063.78</v>
      </c>
      <c r="Q166" s="161" t="n">
        <f aca="false">R166+S166</f>
        <v>3063.78</v>
      </c>
      <c r="R166" s="161" t="n">
        <v>3063.78</v>
      </c>
      <c r="S166" s="16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/>
      <c r="C167" s="55"/>
      <c r="D167" s="55"/>
      <c r="E167" s="55"/>
      <c r="F167" s="71"/>
      <c r="G167" s="164" t="s">
        <v>26</v>
      </c>
      <c r="H167" s="175"/>
      <c r="I167" s="165"/>
      <c r="J167" s="165"/>
      <c r="K167" s="166"/>
      <c r="L167" s="166" t="n">
        <f aca="false">M167+N167</f>
        <v>0</v>
      </c>
      <c r="M167" s="166"/>
      <c r="N167" s="167"/>
      <c r="O167" s="168"/>
      <c r="P167" s="166"/>
      <c r="Q167" s="166" t="n">
        <f aca="false">R167+S167</f>
        <v>0</v>
      </c>
      <c r="R167" s="166"/>
      <c r="S167" s="167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true" outlineLevel="0" collapsed="false">
      <c r="A168" s="72"/>
      <c r="B168" s="18" t="s">
        <v>158</v>
      </c>
      <c r="C168" s="74"/>
      <c r="D168" s="56" t="s">
        <v>204</v>
      </c>
      <c r="E168" s="74"/>
      <c r="F168" s="53"/>
      <c r="G168" s="146" t="s">
        <v>22</v>
      </c>
      <c r="H168" s="195"/>
      <c r="I168" s="196"/>
      <c r="J168" s="196"/>
      <c r="K168" s="197"/>
      <c r="L168" s="197" t="n">
        <f aca="false">M168+N168</f>
        <v>0</v>
      </c>
      <c r="M168" s="197"/>
      <c r="N168" s="198"/>
      <c r="O168" s="199"/>
      <c r="P168" s="197"/>
      <c r="Q168" s="197" t="n">
        <f aca="false">R168+S168</f>
        <v>0</v>
      </c>
      <c r="R168" s="197"/>
      <c r="S168" s="198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54"/>
      <c r="B169" s="18"/>
      <c r="C169" s="56"/>
      <c r="D169" s="56"/>
      <c r="E169" s="56"/>
      <c r="F169" s="138" t="s">
        <v>205</v>
      </c>
      <c r="G169" s="152" t="s">
        <v>26</v>
      </c>
      <c r="H169" s="153" t="n">
        <v>3</v>
      </c>
      <c r="I169" s="200"/>
      <c r="J169" s="200"/>
      <c r="K169" s="201"/>
      <c r="L169" s="201" t="n">
        <f aca="false">M169+N169</f>
        <v>0</v>
      </c>
      <c r="M169" s="201"/>
      <c r="N169" s="202"/>
      <c r="O169" s="203"/>
      <c r="P169" s="201"/>
      <c r="Q169" s="201" t="n">
        <f aca="false">R169+S169</f>
        <v>0</v>
      </c>
      <c r="R169" s="201"/>
      <c r="S169" s="20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33"/>
      <c r="B170" s="34" t="s">
        <v>152</v>
      </c>
      <c r="C170" s="35" t="s">
        <v>20</v>
      </c>
      <c r="D170" s="35"/>
      <c r="E170" s="35" t="s">
        <v>25</v>
      </c>
      <c r="F170" s="36"/>
      <c r="G170" s="158" t="s">
        <v>22</v>
      </c>
      <c r="H170" s="169"/>
      <c r="I170" s="160"/>
      <c r="J170" s="160"/>
      <c r="K170" s="161"/>
      <c r="L170" s="161" t="n">
        <f aca="false">M170+N170</f>
        <v>0</v>
      </c>
      <c r="M170" s="161"/>
      <c r="N170" s="162"/>
      <c r="O170" s="163" t="n">
        <v>1</v>
      </c>
      <c r="P170" s="161" t="n">
        <v>2819.2</v>
      </c>
      <c r="Q170" s="161" t="n">
        <f aca="false">R170+S170</f>
        <v>2819.2</v>
      </c>
      <c r="R170" s="161"/>
      <c r="S170" s="162" t="n">
        <v>2819.2</v>
      </c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33"/>
      <c r="B171" s="34"/>
      <c r="C171" s="34"/>
      <c r="D171" s="34"/>
      <c r="E171" s="34"/>
      <c r="F171" s="42" t="s">
        <v>206</v>
      </c>
      <c r="G171" s="164" t="s">
        <v>26</v>
      </c>
      <c r="H171" s="171" t="n">
        <v>4</v>
      </c>
      <c r="I171" s="165"/>
      <c r="J171" s="165"/>
      <c r="K171" s="166"/>
      <c r="L171" s="166" t="n">
        <v>0</v>
      </c>
      <c r="M171" s="166" t="n">
        <v>0</v>
      </c>
      <c r="N171" s="167"/>
      <c r="O171" s="168" t="n">
        <v>3</v>
      </c>
      <c r="P171" s="166" t="n">
        <v>5814.6</v>
      </c>
      <c r="Q171" s="161" t="n">
        <f aca="false">R171+S171</f>
        <v>2731.1</v>
      </c>
      <c r="R171" s="166" t="n">
        <f aca="false">1145.3</f>
        <v>1145.3</v>
      </c>
      <c r="S171" s="167" t="n">
        <v>1585.8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122</v>
      </c>
      <c r="C172" s="19" t="s">
        <v>20</v>
      </c>
      <c r="D172" s="19"/>
      <c r="E172" s="19" t="s">
        <v>116</v>
      </c>
      <c r="F172" s="20"/>
      <c r="G172" s="146" t="s">
        <v>22</v>
      </c>
      <c r="H172" s="159" t="n">
        <v>18</v>
      </c>
      <c r="I172" s="148" t="n">
        <v>15</v>
      </c>
      <c r="J172" s="148" t="n">
        <v>16</v>
      </c>
      <c r="K172" s="149" t="n">
        <v>24462.74</v>
      </c>
      <c r="L172" s="149" t="n">
        <f aca="false">M172+N172</f>
        <v>3607.7</v>
      </c>
      <c r="M172" s="149" t="n">
        <v>3607.7</v>
      </c>
      <c r="N172" s="150"/>
      <c r="O172" s="151" t="n">
        <v>24</v>
      </c>
      <c r="P172" s="149" t="n">
        <v>61568.09</v>
      </c>
      <c r="Q172" s="149" t="n">
        <f aca="false">R172+S172</f>
        <v>12768.32</v>
      </c>
      <c r="R172" s="149" t="n">
        <v>12768.32</v>
      </c>
      <c r="S172" s="15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17"/>
      <c r="B173" s="18"/>
      <c r="C173" s="18"/>
      <c r="D173" s="18"/>
      <c r="E173" s="18"/>
      <c r="F173" s="57"/>
      <c r="G173" s="152" t="s">
        <v>26</v>
      </c>
      <c r="H173" s="153"/>
      <c r="I173" s="154"/>
      <c r="J173" s="154"/>
      <c r="K173" s="155"/>
      <c r="L173" s="155" t="n">
        <f aca="false">M173+N173</f>
        <v>0</v>
      </c>
      <c r="M173" s="155"/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33"/>
      <c r="B174" s="34" t="s">
        <v>123</v>
      </c>
      <c r="C174" s="35" t="s">
        <v>20</v>
      </c>
      <c r="D174" s="35"/>
      <c r="E174" s="35" t="s">
        <v>25</v>
      </c>
      <c r="F174" s="36"/>
      <c r="G174" s="146" t="s">
        <v>22</v>
      </c>
      <c r="H174" s="159" t="n">
        <v>2</v>
      </c>
      <c r="I174" s="160" t="n">
        <v>2</v>
      </c>
      <c r="J174" s="160" t="n">
        <v>2</v>
      </c>
      <c r="K174" s="161" t="n">
        <v>881</v>
      </c>
      <c r="L174" s="161" t="n">
        <f aca="false">M174+N174</f>
        <v>881</v>
      </c>
      <c r="M174" s="161" t="n">
        <v>881</v>
      </c>
      <c r="N174" s="162"/>
      <c r="O174" s="163" t="n">
        <v>6</v>
      </c>
      <c r="P174" s="161" t="n">
        <v>10868.41</v>
      </c>
      <c r="Q174" s="161" t="n">
        <f aca="false">R174+S174</f>
        <v>10269.33</v>
      </c>
      <c r="R174" s="161" t="n">
        <v>6930.62</v>
      </c>
      <c r="S174" s="162" t="n">
        <v>3338.71</v>
      </c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33"/>
      <c r="B175" s="34"/>
      <c r="C175" s="34"/>
      <c r="D175" s="34"/>
      <c r="E175" s="34"/>
      <c r="F175" s="42" t="s">
        <v>207</v>
      </c>
      <c r="G175" s="164" t="s">
        <v>26</v>
      </c>
      <c r="H175" s="153" t="n">
        <v>1</v>
      </c>
      <c r="I175" s="165"/>
      <c r="J175" s="165"/>
      <c r="K175" s="166"/>
      <c r="L175" s="161" t="n">
        <f aca="false">M175+N175</f>
        <v>0</v>
      </c>
      <c r="M175" s="166" t="n">
        <v>0</v>
      </c>
      <c r="N175" s="167"/>
      <c r="O175" s="168" t="n">
        <v>1</v>
      </c>
      <c r="P175" s="166"/>
      <c r="Q175" s="166" t="n">
        <f aca="false">R175+S175</f>
        <v>881</v>
      </c>
      <c r="R175" s="166" t="n">
        <f aca="false">881</f>
        <v>881</v>
      </c>
      <c r="S175" s="167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17"/>
      <c r="B176" s="18" t="s">
        <v>124</v>
      </c>
      <c r="C176" s="19" t="s">
        <v>20</v>
      </c>
      <c r="D176" s="19"/>
      <c r="E176" s="19" t="s">
        <v>88</v>
      </c>
      <c r="F176" s="20"/>
      <c r="G176" s="146" t="s">
        <v>22</v>
      </c>
      <c r="H176" s="159" t="n">
        <v>6</v>
      </c>
      <c r="I176" s="148" t="n">
        <v>1</v>
      </c>
      <c r="J176" s="148" t="n">
        <v>1</v>
      </c>
      <c r="K176" s="149" t="n">
        <v>3286.13</v>
      </c>
      <c r="L176" s="149" t="n">
        <f aca="false">M176+N176</f>
        <v>0</v>
      </c>
      <c r="M176" s="149"/>
      <c r="N176" s="150"/>
      <c r="O176" s="151" t="n">
        <v>6</v>
      </c>
      <c r="P176" s="149" t="n">
        <v>16237.42</v>
      </c>
      <c r="Q176" s="149" t="n">
        <f aca="false">R176+S176</f>
        <v>14475.42</v>
      </c>
      <c r="R176" s="149" t="n">
        <v>14475.42</v>
      </c>
      <c r="S176" s="15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17"/>
      <c r="B177" s="18"/>
      <c r="C177" s="18"/>
      <c r="D177" s="18"/>
      <c r="E177" s="18"/>
      <c r="F177" s="42" t="s">
        <v>245</v>
      </c>
      <c r="G177" s="164" t="s">
        <v>23</v>
      </c>
      <c r="H177" s="172" t="n">
        <v>7</v>
      </c>
      <c r="I177" s="165"/>
      <c r="J177" s="165"/>
      <c r="K177" s="166"/>
      <c r="L177" s="166" t="n">
        <v>0</v>
      </c>
      <c r="M177" s="166"/>
      <c r="N177" s="167"/>
      <c r="O177" s="168" t="n">
        <v>2</v>
      </c>
      <c r="P177" s="166" t="n">
        <v>3976.4</v>
      </c>
      <c r="Q177" s="166" t="n">
        <v>3976.4</v>
      </c>
      <c r="R177" s="166" t="n">
        <v>3976.4</v>
      </c>
      <c r="S177" s="167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.75" hidden="false" customHeight="true" outlineLevel="0" collapsed="false">
      <c r="A178" s="17"/>
      <c r="B178" s="18" t="s">
        <v>208</v>
      </c>
      <c r="C178" s="19"/>
      <c r="D178" s="19"/>
      <c r="E178" s="127"/>
      <c r="F178" s="20"/>
      <c r="G178" s="146" t="s">
        <v>22</v>
      </c>
      <c r="H178" s="173" t="n">
        <v>6</v>
      </c>
      <c r="I178" s="148" t="n">
        <v>2</v>
      </c>
      <c r="J178" s="148" t="n">
        <v>2</v>
      </c>
      <c r="K178" s="149" t="n">
        <v>2396.32</v>
      </c>
      <c r="L178" s="149" t="n">
        <f aca="false">M178+N178</f>
        <v>0</v>
      </c>
      <c r="M178" s="149"/>
      <c r="N178" s="150"/>
      <c r="O178" s="151"/>
      <c r="P178" s="149"/>
      <c r="Q178" s="149" t="n">
        <f aca="false">R178+S178</f>
        <v>0</v>
      </c>
      <c r="R178" s="149"/>
      <c r="S178" s="15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17"/>
      <c r="B179" s="18"/>
      <c r="C179" s="18"/>
      <c r="D179" s="18"/>
      <c r="E179" s="128"/>
      <c r="F179" s="26" t="s">
        <v>246</v>
      </c>
      <c r="G179" s="152" t="s">
        <v>23</v>
      </c>
      <c r="H179" s="174" t="n">
        <v>5</v>
      </c>
      <c r="I179" s="154"/>
      <c r="J179" s="154"/>
      <c r="K179" s="155"/>
      <c r="L179" s="155" t="n">
        <f aca="false">M179+N179</f>
        <v>0</v>
      </c>
      <c r="M179" s="155"/>
      <c r="N179" s="156"/>
      <c r="O179" s="157"/>
      <c r="P179" s="155"/>
      <c r="Q179" s="155" t="n">
        <f aca="false">R179+S179</f>
        <v>0</v>
      </c>
      <c r="R179" s="155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.75" hidden="false" customHeight="true" outlineLevel="0" collapsed="false">
      <c r="A180" s="33"/>
      <c r="B180" s="34" t="s">
        <v>125</v>
      </c>
      <c r="C180" s="35" t="s">
        <v>33</v>
      </c>
      <c r="D180" s="35" t="s">
        <v>126</v>
      </c>
      <c r="E180" s="35" t="s">
        <v>127</v>
      </c>
      <c r="F180" s="36"/>
      <c r="G180" s="158" t="s">
        <v>22</v>
      </c>
      <c r="H180" s="159" t="n">
        <v>7</v>
      </c>
      <c r="I180" s="160" t="n">
        <v>3</v>
      </c>
      <c r="J180" s="160" t="n">
        <v>4</v>
      </c>
      <c r="K180" s="161" t="n">
        <v>5845.96</v>
      </c>
      <c r="L180" s="161" t="n">
        <f aca="false">M180+N180</f>
        <v>0</v>
      </c>
      <c r="M180" s="161"/>
      <c r="N180" s="162"/>
      <c r="O180" s="163" t="n">
        <v>12</v>
      </c>
      <c r="P180" s="161" t="n">
        <v>24225.46</v>
      </c>
      <c r="Q180" s="161" t="n">
        <f aca="false">R180+S180</f>
        <v>11500.86</v>
      </c>
      <c r="R180" s="161" t="n">
        <v>11500.86</v>
      </c>
      <c r="S180" s="16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33"/>
      <c r="B181" s="34"/>
      <c r="C181" s="34"/>
      <c r="D181" s="34"/>
      <c r="E181" s="34"/>
      <c r="F181" s="42"/>
      <c r="G181" s="164" t="s">
        <v>23</v>
      </c>
      <c r="H181" s="171" t="n">
        <v>28</v>
      </c>
      <c r="I181" s="165" t="n">
        <v>3</v>
      </c>
      <c r="J181" s="165" t="n">
        <v>3</v>
      </c>
      <c r="K181" s="166" t="n">
        <v>7752.8</v>
      </c>
      <c r="L181" s="166" t="n">
        <v>1938.2</v>
      </c>
      <c r="M181" s="166" t="n">
        <v>1938.2</v>
      </c>
      <c r="N181" s="167"/>
      <c r="O181" s="168" t="n">
        <v>9</v>
      </c>
      <c r="P181" s="166" t="n">
        <v>28054.84</v>
      </c>
      <c r="Q181" s="166" t="n">
        <v>1409.6</v>
      </c>
      <c r="R181" s="166" t="n">
        <v>1409.6</v>
      </c>
      <c r="S181" s="167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128</v>
      </c>
      <c r="C182" s="19" t="s">
        <v>20</v>
      </c>
      <c r="D182" s="19"/>
      <c r="E182" s="19" t="s">
        <v>25</v>
      </c>
      <c r="F182" s="20"/>
      <c r="G182" s="146" t="s">
        <v>22</v>
      </c>
      <c r="H182" s="159" t="n">
        <v>14</v>
      </c>
      <c r="I182" s="148" t="n">
        <v>7</v>
      </c>
      <c r="J182" s="148" t="n">
        <v>7</v>
      </c>
      <c r="K182" s="149" t="n">
        <v>5466.2</v>
      </c>
      <c r="L182" s="149" t="n">
        <f aca="false">M182+N182</f>
        <v>1708.7</v>
      </c>
      <c r="M182" s="149" t="n">
        <v>1708.7</v>
      </c>
      <c r="N182" s="150"/>
      <c r="O182" s="151" t="n">
        <v>10</v>
      </c>
      <c r="P182" s="149" t="n">
        <v>21063.92</v>
      </c>
      <c r="Q182" s="149" t="n">
        <f aca="false">R182+S182</f>
        <v>5312.27</v>
      </c>
      <c r="R182" s="149" t="n">
        <v>5312.27</v>
      </c>
      <c r="S182" s="15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71"/>
      <c r="G183" s="164" t="s">
        <v>26</v>
      </c>
      <c r="H183" s="175"/>
      <c r="I183" s="165"/>
      <c r="J183" s="165"/>
      <c r="K183" s="166"/>
      <c r="L183" s="166" t="n">
        <f aca="false">M183+N183</f>
        <v>0</v>
      </c>
      <c r="M183" s="166"/>
      <c r="N183" s="167"/>
      <c r="O183" s="168"/>
      <c r="P183" s="166"/>
      <c r="Q183" s="166" t="n">
        <f aca="false">R183+S183</f>
        <v>0</v>
      </c>
      <c r="R183" s="166"/>
      <c r="S183" s="167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227</v>
      </c>
      <c r="C184" s="19"/>
      <c r="D184" s="19"/>
      <c r="E184" s="19"/>
      <c r="F184" s="20"/>
      <c r="G184" s="204" t="s">
        <v>22</v>
      </c>
      <c r="H184" s="173" t="n">
        <v>1</v>
      </c>
      <c r="I184" s="148"/>
      <c r="J184" s="148"/>
      <c r="K184" s="149"/>
      <c r="L184" s="149" t="n">
        <f aca="false">M184+N184</f>
        <v>0</v>
      </c>
      <c r="M184" s="149"/>
      <c r="N184" s="150"/>
      <c r="O184" s="206"/>
      <c r="P184" s="149"/>
      <c r="Q184" s="149" t="n">
        <f aca="false">R184+S184</f>
        <v>0</v>
      </c>
      <c r="R184" s="149"/>
      <c r="S184" s="15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57"/>
      <c r="G185" s="207" t="s">
        <v>26</v>
      </c>
      <c r="H185" s="174"/>
      <c r="I185" s="154"/>
      <c r="J185" s="154"/>
      <c r="K185" s="155"/>
      <c r="L185" s="155" t="n">
        <f aca="false">M185+N185</f>
        <v>0</v>
      </c>
      <c r="M185" s="155"/>
      <c r="N185" s="156"/>
      <c r="O185" s="209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129</v>
      </c>
      <c r="C186" s="35" t="s">
        <v>38</v>
      </c>
      <c r="D186" s="35" t="s">
        <v>130</v>
      </c>
      <c r="E186" s="35" t="s">
        <v>25</v>
      </c>
      <c r="F186" s="36"/>
      <c r="G186" s="158" t="s">
        <v>22</v>
      </c>
      <c r="H186" s="159" t="n">
        <v>7</v>
      </c>
      <c r="I186" s="160" t="n">
        <v>5</v>
      </c>
      <c r="J186" s="160" t="n">
        <v>5</v>
      </c>
      <c r="K186" s="161" t="n">
        <v>3147.73</v>
      </c>
      <c r="L186" s="161" t="n">
        <f aca="false">M186+N186</f>
        <v>3147.73</v>
      </c>
      <c r="M186" s="161"/>
      <c r="N186" s="162" t="n">
        <v>3147.73</v>
      </c>
      <c r="O186" s="163" t="n">
        <v>2</v>
      </c>
      <c r="P186" s="161" t="n">
        <v>44463.45</v>
      </c>
      <c r="Q186" s="161" t="n">
        <f aca="false">R186+S186</f>
        <v>44463.45</v>
      </c>
      <c r="R186" s="161"/>
      <c r="S186" s="162" t="n">
        <v>44463.45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209</v>
      </c>
      <c r="G187" s="164" t="s">
        <v>26</v>
      </c>
      <c r="H187" s="153" t="n">
        <v>2</v>
      </c>
      <c r="I187" s="165"/>
      <c r="J187" s="165"/>
      <c r="K187" s="166"/>
      <c r="L187" s="161" t="n">
        <f aca="false">M187+N187</f>
        <v>0</v>
      </c>
      <c r="M187" s="166" t="n">
        <v>0</v>
      </c>
      <c r="N187" s="167"/>
      <c r="O187" s="168" t="n">
        <v>7</v>
      </c>
      <c r="P187" s="166" t="n">
        <v>20590.6</v>
      </c>
      <c r="Q187" s="166" t="n">
        <f aca="false">R187+S187</f>
        <v>1762</v>
      </c>
      <c r="R187" s="166" t="n">
        <f aca="false">881+881</f>
        <v>1762</v>
      </c>
      <c r="S187" s="167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6.5" hidden="false" customHeight="true" outlineLevel="0" collapsed="false">
      <c r="A188" s="17"/>
      <c r="B188" s="18" t="s">
        <v>131</v>
      </c>
      <c r="C188" s="19" t="s">
        <v>38</v>
      </c>
      <c r="D188" s="19" t="s">
        <v>130</v>
      </c>
      <c r="E188" s="19" t="s">
        <v>25</v>
      </c>
      <c r="F188" s="20"/>
      <c r="G188" s="146" t="s">
        <v>22</v>
      </c>
      <c r="H188" s="159" t="n">
        <v>8</v>
      </c>
      <c r="I188" s="148" t="n">
        <v>6</v>
      </c>
      <c r="J188" s="148" t="n">
        <v>9</v>
      </c>
      <c r="K188" s="149" t="n">
        <v>18396.59</v>
      </c>
      <c r="L188" s="149" t="n">
        <f aca="false">M188+N188</f>
        <v>13633.47</v>
      </c>
      <c r="M188" s="149" t="n">
        <v>5349.43</v>
      </c>
      <c r="N188" s="150" t="n">
        <v>8284.04</v>
      </c>
      <c r="O188" s="151" t="n">
        <v>14</v>
      </c>
      <c r="P188" s="149" t="n">
        <v>65810.62</v>
      </c>
      <c r="Q188" s="149" t="n">
        <f aca="false">R188+S188</f>
        <v>55278.65</v>
      </c>
      <c r="R188" s="149" t="n">
        <v>1920.58</v>
      </c>
      <c r="S188" s="150" t="n">
        <v>53358.07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6.5" hidden="false" customHeight="true" outlineLevel="0" collapsed="false">
      <c r="A189" s="17"/>
      <c r="B189" s="18"/>
      <c r="C189" s="18"/>
      <c r="D189" s="18"/>
      <c r="E189" s="18"/>
      <c r="F189" s="26" t="s">
        <v>210</v>
      </c>
      <c r="G189" s="152" t="s">
        <v>26</v>
      </c>
      <c r="H189" s="153" t="n">
        <v>2</v>
      </c>
      <c r="I189" s="154" t="n">
        <v>2</v>
      </c>
      <c r="J189" s="154" t="n">
        <v>2</v>
      </c>
      <c r="K189" s="155" t="n">
        <v>1585.8</v>
      </c>
      <c r="L189" s="155" t="n">
        <f aca="false">M189+N189</f>
        <v>0</v>
      </c>
      <c r="M189" s="155"/>
      <c r="N189" s="156"/>
      <c r="O189" s="157"/>
      <c r="P189" s="155"/>
      <c r="Q189" s="155" t="n">
        <f aca="false">R189+S189</f>
        <v>0</v>
      </c>
      <c r="R189" s="155"/>
      <c r="S189" s="210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6.5" hidden="false" customHeight="true" outlineLevel="0" collapsed="false">
      <c r="A190" s="33"/>
      <c r="B190" s="34" t="s">
        <v>132</v>
      </c>
      <c r="C190" s="35" t="s">
        <v>20</v>
      </c>
      <c r="D190" s="35"/>
      <c r="E190" s="35" t="s">
        <v>69</v>
      </c>
      <c r="F190" s="38"/>
      <c r="G190" s="146" t="s">
        <v>22</v>
      </c>
      <c r="H190" s="159" t="n">
        <v>8</v>
      </c>
      <c r="I190" s="160" t="n">
        <v>5</v>
      </c>
      <c r="J190" s="160" t="n">
        <v>7</v>
      </c>
      <c r="K190" s="161" t="n">
        <v>14544.62</v>
      </c>
      <c r="L190" s="161" t="n">
        <f aca="false">M190+N190</f>
        <v>1973.48</v>
      </c>
      <c r="M190" s="161" t="n">
        <v>1973.48</v>
      </c>
      <c r="N190" s="162"/>
      <c r="O190" s="163" t="n">
        <v>10</v>
      </c>
      <c r="P190" s="161" t="n">
        <v>28827.93</v>
      </c>
      <c r="Q190" s="161" t="n">
        <f aca="false">R190+S190</f>
        <v>28827.93</v>
      </c>
      <c r="R190" s="161" t="n">
        <v>28827.93</v>
      </c>
      <c r="S190" s="16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6.5" hidden="false" customHeight="true" outlineLevel="0" collapsed="false">
      <c r="A191" s="33"/>
      <c r="B191" s="34"/>
      <c r="C191" s="34"/>
      <c r="D191" s="34"/>
      <c r="E191" s="34"/>
      <c r="F191" s="42" t="s">
        <v>211</v>
      </c>
      <c r="G191" s="164" t="s">
        <v>26</v>
      </c>
      <c r="H191" s="153" t="n">
        <v>5</v>
      </c>
      <c r="I191" s="165"/>
      <c r="J191" s="165"/>
      <c r="K191" s="166"/>
      <c r="L191" s="166" t="n">
        <f aca="false">M191+N191</f>
        <v>0</v>
      </c>
      <c r="M191" s="166"/>
      <c r="N191" s="167"/>
      <c r="O191" s="168"/>
      <c r="P191" s="166"/>
      <c r="Q191" s="166" t="n">
        <f aca="false">R191+S191</f>
        <v>0</v>
      </c>
      <c r="R191" s="166"/>
      <c r="S191" s="167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6.5" hidden="false" customHeight="true" outlineLevel="0" collapsed="false">
      <c r="A192" s="72"/>
      <c r="B192" s="73" t="s">
        <v>133</v>
      </c>
      <c r="C192" s="74" t="s">
        <v>20</v>
      </c>
      <c r="D192" s="74"/>
      <c r="E192" s="74" t="s">
        <v>25</v>
      </c>
      <c r="F192" s="22"/>
      <c r="G192" s="146" t="s">
        <v>22</v>
      </c>
      <c r="H192" s="159" t="n">
        <v>1</v>
      </c>
      <c r="I192" s="148" t="n">
        <v>1</v>
      </c>
      <c r="J192" s="148" t="n">
        <v>1</v>
      </c>
      <c r="K192" s="149" t="n">
        <v>2784.03</v>
      </c>
      <c r="L192" s="149" t="n">
        <f aca="false">M192+N192</f>
        <v>0</v>
      </c>
      <c r="M192" s="149"/>
      <c r="N192" s="150"/>
      <c r="O192" s="151" t="n">
        <v>1</v>
      </c>
      <c r="P192" s="149" t="n">
        <v>2163.03</v>
      </c>
      <c r="Q192" s="149" t="n">
        <f aca="false">R192+S192</f>
        <v>2163.03</v>
      </c>
      <c r="R192" s="149" t="n">
        <v>2163.03</v>
      </c>
      <c r="S192" s="15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6.5" hidden="false" customHeight="true" outlineLevel="0" collapsed="false">
      <c r="A193" s="72"/>
      <c r="B193" s="73"/>
      <c r="C193" s="73"/>
      <c r="D193" s="73"/>
      <c r="E193" s="73"/>
      <c r="F193" s="42" t="s">
        <v>212</v>
      </c>
      <c r="G193" s="164" t="s">
        <v>26</v>
      </c>
      <c r="H193" s="171" t="n">
        <v>4</v>
      </c>
      <c r="I193" s="165" t="n">
        <v>1</v>
      </c>
      <c r="J193" s="165" t="n">
        <v>1</v>
      </c>
      <c r="K193" s="166" t="n">
        <v>1409.6</v>
      </c>
      <c r="L193" s="166" t="n">
        <f aca="false">M193+N193</f>
        <v>0</v>
      </c>
      <c r="M193" s="166"/>
      <c r="N193" s="167"/>
      <c r="O193" s="168"/>
      <c r="P193" s="166"/>
      <c r="Q193" s="166" t="n">
        <f aca="false">R193+S193</f>
        <v>0</v>
      </c>
      <c r="R193" s="166"/>
      <c r="S193" s="167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6.5" hidden="false" customHeight="true" outlineLevel="0" collapsed="false">
      <c r="A194" s="72"/>
      <c r="B194" s="73" t="s">
        <v>134</v>
      </c>
      <c r="C194" s="74" t="s">
        <v>20</v>
      </c>
      <c r="D194" s="74"/>
      <c r="E194" s="74" t="s">
        <v>25</v>
      </c>
      <c r="F194" s="20"/>
      <c r="G194" s="146" t="s">
        <v>22</v>
      </c>
      <c r="H194" s="169"/>
      <c r="I194" s="148"/>
      <c r="J194" s="148"/>
      <c r="K194" s="149"/>
      <c r="L194" s="149" t="n">
        <f aca="false">M194+N194</f>
        <v>0</v>
      </c>
      <c r="M194" s="149"/>
      <c r="N194" s="150"/>
      <c r="O194" s="151" t="n">
        <v>1</v>
      </c>
      <c r="P194" s="149" t="n">
        <v>13019.26</v>
      </c>
      <c r="Q194" s="149" t="n">
        <f aca="false">R194+S194</f>
        <v>13019.26</v>
      </c>
      <c r="R194" s="149"/>
      <c r="S194" s="150" t="n">
        <v>13019.26</v>
      </c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72"/>
      <c r="B195" s="73"/>
      <c r="C195" s="73"/>
      <c r="D195" s="73"/>
      <c r="E195" s="73"/>
      <c r="F195" s="42" t="s">
        <v>213</v>
      </c>
      <c r="G195" s="164" t="s">
        <v>26</v>
      </c>
      <c r="H195" s="153" t="n">
        <v>1</v>
      </c>
      <c r="I195" s="165"/>
      <c r="J195" s="165"/>
      <c r="K195" s="166"/>
      <c r="L195" s="166" t="n">
        <f aca="false">M195+N195</f>
        <v>0</v>
      </c>
      <c r="M195" s="166"/>
      <c r="N195" s="167"/>
      <c r="O195" s="168" t="n">
        <v>3</v>
      </c>
      <c r="P195" s="166" t="n">
        <v>23840.15</v>
      </c>
      <c r="Q195" s="166" t="n">
        <f aca="false">R195+S195</f>
        <v>0</v>
      </c>
      <c r="R195" s="166"/>
      <c r="S195" s="167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" hidden="false" customHeight="true" outlineLevel="0" collapsed="false">
      <c r="A196" s="17"/>
      <c r="B196" s="18" t="s">
        <v>135</v>
      </c>
      <c r="C196" s="19" t="s">
        <v>20</v>
      </c>
      <c r="D196" s="19"/>
      <c r="E196" s="19" t="s">
        <v>69</v>
      </c>
      <c r="F196" s="22"/>
      <c r="G196" s="146" t="s">
        <v>22</v>
      </c>
      <c r="H196" s="159" t="n">
        <v>6</v>
      </c>
      <c r="I196" s="148" t="n">
        <v>2</v>
      </c>
      <c r="J196" s="148" t="n">
        <v>2</v>
      </c>
      <c r="K196" s="149" t="n">
        <v>2995.4</v>
      </c>
      <c r="L196" s="149" t="n">
        <f aca="false">M196+N196</f>
        <v>2995.4</v>
      </c>
      <c r="M196" s="149" t="n">
        <v>2995.4</v>
      </c>
      <c r="N196" s="150"/>
      <c r="O196" s="151" t="n">
        <v>10</v>
      </c>
      <c r="P196" s="149" t="n">
        <v>14331.8</v>
      </c>
      <c r="Q196" s="149" t="n">
        <f aca="false">R196+S196</f>
        <v>14331.8</v>
      </c>
      <c r="R196" s="149" t="n">
        <v>14331.8</v>
      </c>
      <c r="S196" s="15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26"/>
      <c r="G197" s="152" t="s">
        <v>26</v>
      </c>
      <c r="H197" s="171" t="n">
        <v>2</v>
      </c>
      <c r="I197" s="154"/>
      <c r="J197" s="154"/>
      <c r="K197" s="155"/>
      <c r="L197" s="155" t="n">
        <f aca="false">M197+N197</f>
        <v>0</v>
      </c>
      <c r="M197" s="155"/>
      <c r="N197" s="156"/>
      <c r="O197" s="157" t="n">
        <v>2</v>
      </c>
      <c r="P197" s="155" t="n">
        <v>2292.9</v>
      </c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136</v>
      </c>
      <c r="C198" s="35" t="s">
        <v>20</v>
      </c>
      <c r="D198" s="35"/>
      <c r="E198" s="35" t="s">
        <v>98</v>
      </c>
      <c r="F198" s="36"/>
      <c r="G198" s="146" t="s">
        <v>22</v>
      </c>
      <c r="H198" s="159" t="n">
        <v>10</v>
      </c>
      <c r="I198" s="160" t="n">
        <v>9</v>
      </c>
      <c r="J198" s="160" t="n">
        <v>13</v>
      </c>
      <c r="K198" s="161" t="n">
        <v>20606.25</v>
      </c>
      <c r="L198" s="161" t="n">
        <f aca="false">M198+N198</f>
        <v>7070.9</v>
      </c>
      <c r="M198" s="161" t="n">
        <v>7070.9</v>
      </c>
      <c r="N198" s="162"/>
      <c r="O198" s="163" t="n">
        <v>9</v>
      </c>
      <c r="P198" s="161" t="n">
        <v>14877.54</v>
      </c>
      <c r="Q198" s="161" t="n">
        <f aca="false">R198+S198</f>
        <v>11139.63</v>
      </c>
      <c r="R198" s="161" t="n">
        <v>11139.63</v>
      </c>
      <c r="S198" s="16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 t="s">
        <v>247</v>
      </c>
      <c r="G199" s="164" t="s">
        <v>23</v>
      </c>
      <c r="H199" s="171" t="n">
        <v>5</v>
      </c>
      <c r="I199" s="165" t="n">
        <v>4</v>
      </c>
      <c r="J199" s="165" t="n">
        <v>4</v>
      </c>
      <c r="K199" s="166" t="n">
        <v>704.8</v>
      </c>
      <c r="L199" s="166" t="n">
        <f aca="false">M199+N199</f>
        <v>0</v>
      </c>
      <c r="M199" s="166"/>
      <c r="N199" s="167"/>
      <c r="O199" s="168" t="n">
        <v>5</v>
      </c>
      <c r="P199" s="166" t="n">
        <v>1585.8</v>
      </c>
      <c r="Q199" s="166" t="n">
        <f aca="false">R199+S199</f>
        <v>0</v>
      </c>
      <c r="R199" s="166"/>
      <c r="S199" s="167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17"/>
      <c r="B200" s="18" t="s">
        <v>137</v>
      </c>
      <c r="C200" s="19" t="s">
        <v>20</v>
      </c>
      <c r="D200" s="19"/>
      <c r="E200" s="19" t="s">
        <v>25</v>
      </c>
      <c r="F200" s="20"/>
      <c r="G200" s="146" t="s">
        <v>22</v>
      </c>
      <c r="H200" s="169"/>
      <c r="I200" s="148"/>
      <c r="J200" s="148"/>
      <c r="K200" s="149"/>
      <c r="L200" s="149" t="n">
        <f aca="false">M200+N200</f>
        <v>0</v>
      </c>
      <c r="M200" s="149"/>
      <c r="N200" s="150"/>
      <c r="O200" s="151"/>
      <c r="P200" s="149"/>
      <c r="Q200" s="149" t="n">
        <f aca="false">R200+S200</f>
        <v>0</v>
      </c>
      <c r="R200" s="149"/>
      <c r="S200" s="15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20.25" hidden="false" customHeight="true" outlineLevel="0" collapsed="false">
      <c r="A201" s="17"/>
      <c r="B201" s="18"/>
      <c r="C201" s="18"/>
      <c r="D201" s="18"/>
      <c r="E201" s="18"/>
      <c r="F201" s="26"/>
      <c r="G201" s="152" t="s">
        <v>26</v>
      </c>
      <c r="H201" s="153" t="n">
        <v>8</v>
      </c>
      <c r="I201" s="154"/>
      <c r="J201" s="154"/>
      <c r="K201" s="155"/>
      <c r="L201" s="155" t="n">
        <f aca="false">M201+N201</f>
        <v>0</v>
      </c>
      <c r="M201" s="155"/>
      <c r="N201" s="156"/>
      <c r="O201" s="157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54"/>
      <c r="B202" s="55" t="s">
        <v>138</v>
      </c>
      <c r="C202" s="56" t="s">
        <v>33</v>
      </c>
      <c r="D202" s="56" t="s">
        <v>139</v>
      </c>
      <c r="E202" s="56" t="s">
        <v>25</v>
      </c>
      <c r="F202" s="36"/>
      <c r="G202" s="146" t="s">
        <v>22</v>
      </c>
      <c r="H202" s="169"/>
      <c r="I202" s="160"/>
      <c r="J202" s="160"/>
      <c r="K202" s="161"/>
      <c r="L202" s="161" t="n">
        <f aca="false">M202+N202</f>
        <v>0</v>
      </c>
      <c r="M202" s="161"/>
      <c r="N202" s="162"/>
      <c r="O202" s="163"/>
      <c r="P202" s="161"/>
      <c r="Q202" s="161" t="n">
        <f aca="false">R202+S202</f>
        <v>0</v>
      </c>
      <c r="R202" s="161"/>
      <c r="S202" s="16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54"/>
      <c r="B203" s="55"/>
      <c r="C203" s="55"/>
      <c r="D203" s="55"/>
      <c r="E203" s="55"/>
      <c r="F203" s="26" t="s">
        <v>214</v>
      </c>
      <c r="G203" s="152" t="s">
        <v>26</v>
      </c>
      <c r="H203" s="171" t="n">
        <v>4</v>
      </c>
      <c r="I203" s="154" t="n">
        <v>1</v>
      </c>
      <c r="J203" s="154" t="n">
        <v>1</v>
      </c>
      <c r="K203" s="155" t="n">
        <v>2466.8</v>
      </c>
      <c r="L203" s="155" t="n">
        <f aca="false">M203+N203</f>
        <v>0</v>
      </c>
      <c r="M203" s="155"/>
      <c r="N203" s="156"/>
      <c r="O203" s="157"/>
      <c r="P203" s="155"/>
      <c r="Q203" s="155" t="n">
        <f aca="false">R203+S203</f>
        <v>0</v>
      </c>
      <c r="R203" s="155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33"/>
      <c r="B204" s="34" t="s">
        <v>140</v>
      </c>
      <c r="C204" s="35" t="s">
        <v>20</v>
      </c>
      <c r="D204" s="35"/>
      <c r="E204" s="35" t="s">
        <v>141</v>
      </c>
      <c r="F204" s="36"/>
      <c r="G204" s="146" t="s">
        <v>22</v>
      </c>
      <c r="H204" s="159" t="n">
        <v>4</v>
      </c>
      <c r="I204" s="160" t="n">
        <v>1</v>
      </c>
      <c r="J204" s="160" t="n">
        <v>1</v>
      </c>
      <c r="K204" s="161" t="n">
        <v>1046.63</v>
      </c>
      <c r="L204" s="161" t="n">
        <f aca="false">M204+N204</f>
        <v>0</v>
      </c>
      <c r="M204" s="161"/>
      <c r="N204" s="162"/>
      <c r="O204" s="163" t="n">
        <v>5</v>
      </c>
      <c r="P204" s="161" t="n">
        <v>11496.53</v>
      </c>
      <c r="Q204" s="161" t="n">
        <f aca="false">R204+S204</f>
        <v>0</v>
      </c>
      <c r="R204" s="161"/>
      <c r="S204" s="16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33"/>
      <c r="B205" s="34"/>
      <c r="C205" s="34"/>
      <c r="D205" s="34"/>
      <c r="E205" s="34"/>
      <c r="F205" s="42" t="s">
        <v>215</v>
      </c>
      <c r="G205" s="164" t="s">
        <v>26</v>
      </c>
      <c r="H205" s="175" t="n">
        <v>1</v>
      </c>
      <c r="I205" s="165"/>
      <c r="J205" s="165"/>
      <c r="K205" s="166"/>
      <c r="L205" s="166" t="n">
        <f aca="false">M205+N205</f>
        <v>0</v>
      </c>
      <c r="M205" s="166"/>
      <c r="N205" s="167"/>
      <c r="O205" s="16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251</v>
      </c>
      <c r="C206" s="19" t="s">
        <v>20</v>
      </c>
      <c r="D206" s="19"/>
      <c r="E206" s="19" t="s">
        <v>116</v>
      </c>
      <c r="F206" s="20"/>
      <c r="G206" s="146" t="s">
        <v>22</v>
      </c>
      <c r="H206" s="173"/>
      <c r="I206" s="148"/>
      <c r="J206" s="148"/>
      <c r="K206" s="149"/>
      <c r="L206" s="149"/>
      <c r="M206" s="149"/>
      <c r="N206" s="150"/>
      <c r="O206" s="206"/>
      <c r="P206" s="149"/>
      <c r="Q206" s="149"/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26" t="s">
        <v>252</v>
      </c>
      <c r="G207" s="152" t="s">
        <v>26</v>
      </c>
      <c r="H207" s="174" t="n">
        <v>2</v>
      </c>
      <c r="I207" s="154"/>
      <c r="J207" s="154"/>
      <c r="K207" s="155"/>
      <c r="L207" s="155"/>
      <c r="M207" s="155"/>
      <c r="N207" s="156"/>
      <c r="O207" s="209"/>
      <c r="P207" s="155"/>
      <c r="Q207" s="155"/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54"/>
      <c r="B208" s="55" t="s">
        <v>142</v>
      </c>
      <c r="C208" s="56" t="s">
        <v>20</v>
      </c>
      <c r="D208" s="56"/>
      <c r="E208" s="56" t="s">
        <v>25</v>
      </c>
      <c r="F208" s="36"/>
      <c r="G208" s="158" t="s">
        <v>22</v>
      </c>
      <c r="H208" s="173" t="n">
        <v>4</v>
      </c>
      <c r="I208" s="148" t="n">
        <v>3</v>
      </c>
      <c r="J208" s="148" t="n">
        <v>3</v>
      </c>
      <c r="K208" s="149" t="n">
        <v>1656.28</v>
      </c>
      <c r="L208" s="149" t="n">
        <f aca="false">M208+N208</f>
        <v>1656.28</v>
      </c>
      <c r="M208" s="149" t="n">
        <v>1656.28</v>
      </c>
      <c r="N208" s="150"/>
      <c r="O208" s="228" t="n">
        <v>4</v>
      </c>
      <c r="P208" s="161" t="n">
        <v>5104.51</v>
      </c>
      <c r="Q208" s="161" t="n">
        <f aca="false">R208+S208</f>
        <v>3342.51</v>
      </c>
      <c r="R208" s="161" t="n">
        <v>3342.51</v>
      </c>
      <c r="S208" s="16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54"/>
      <c r="B209" s="55"/>
      <c r="C209" s="55"/>
      <c r="D209" s="55"/>
      <c r="E209" s="55"/>
      <c r="F209" s="26" t="s">
        <v>216</v>
      </c>
      <c r="G209" s="152" t="s">
        <v>26</v>
      </c>
      <c r="H209" s="174" t="n">
        <v>5</v>
      </c>
      <c r="I209" s="154" t="n">
        <v>3</v>
      </c>
      <c r="J209" s="154" t="n">
        <v>3</v>
      </c>
      <c r="K209" s="155" t="n">
        <v>5990.8</v>
      </c>
      <c r="L209" s="155" t="n">
        <f aca="false">M209+N209</f>
        <v>3347.8</v>
      </c>
      <c r="M209" s="155" t="n">
        <f aca="false">3052.81</f>
        <v>3052.81</v>
      </c>
      <c r="N209" s="156" t="n">
        <f aca="false">294.99</f>
        <v>294.99</v>
      </c>
      <c r="O209" s="209" t="n">
        <v>7</v>
      </c>
      <c r="P209" s="155" t="n">
        <v>7343.2</v>
      </c>
      <c r="Q209" s="155" t="n">
        <f aca="false">R209+S209</f>
        <v>528.6</v>
      </c>
      <c r="R209" s="155" t="n">
        <f aca="false">528.6</f>
        <v>528.6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33"/>
      <c r="B210" s="34" t="s">
        <v>143</v>
      </c>
      <c r="C210" s="35" t="s">
        <v>20</v>
      </c>
      <c r="D210" s="35"/>
      <c r="E210" s="35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62"/>
      <c r="O210" s="163" t="n">
        <v>1</v>
      </c>
      <c r="P210" s="161" t="n">
        <v>1515.67</v>
      </c>
      <c r="Q210" s="161" t="n">
        <f aca="false">R210+S210</f>
        <v>0</v>
      </c>
      <c r="R210" s="161"/>
      <c r="S210" s="16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217</v>
      </c>
      <c r="G211" s="164" t="s">
        <v>26</v>
      </c>
      <c r="H211" s="171" t="n">
        <v>4</v>
      </c>
      <c r="I211" s="165"/>
      <c r="J211" s="165"/>
      <c r="K211" s="166"/>
      <c r="L211" s="166" t="n">
        <f aca="false">M211+N211</f>
        <v>0</v>
      </c>
      <c r="M211" s="166"/>
      <c r="N211" s="167"/>
      <c r="O211" s="168" t="n">
        <v>5</v>
      </c>
      <c r="P211" s="166" t="n">
        <v>34775.2</v>
      </c>
      <c r="Q211" s="166" t="n">
        <f aca="false">R211+S211</f>
        <v>0</v>
      </c>
      <c r="R211" s="166"/>
      <c r="S211" s="167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144</v>
      </c>
      <c r="C212" s="19" t="s">
        <v>20</v>
      </c>
      <c r="D212" s="19"/>
      <c r="E212" s="19" t="s">
        <v>81</v>
      </c>
      <c r="F212" s="20"/>
      <c r="G212" s="146" t="s">
        <v>22</v>
      </c>
      <c r="H212" s="159" t="n">
        <v>4</v>
      </c>
      <c r="I212" s="148" t="n">
        <v>3</v>
      </c>
      <c r="J212" s="148" t="n">
        <v>3</v>
      </c>
      <c r="K212" s="149" t="n">
        <v>2096.78</v>
      </c>
      <c r="L212" s="149" t="n">
        <f aca="false">M212+N212</f>
        <v>0</v>
      </c>
      <c r="M212" s="149"/>
      <c r="N212" s="150"/>
      <c r="O212" s="151" t="n">
        <v>4</v>
      </c>
      <c r="P212" s="149" t="n">
        <v>3636.77</v>
      </c>
      <c r="Q212" s="149" t="n">
        <f aca="false">R212+S212</f>
        <v>735.64</v>
      </c>
      <c r="R212" s="149"/>
      <c r="S212" s="150" t="n">
        <v>735.64</v>
      </c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17"/>
      <c r="B213" s="18"/>
      <c r="C213" s="18"/>
      <c r="D213" s="18"/>
      <c r="E213" s="18"/>
      <c r="F213" s="26" t="s">
        <v>218</v>
      </c>
      <c r="G213" s="152" t="s">
        <v>26</v>
      </c>
      <c r="H213" s="171" t="n">
        <v>6</v>
      </c>
      <c r="I213" s="154"/>
      <c r="J213" s="154"/>
      <c r="K213" s="155"/>
      <c r="L213" s="155" t="n">
        <f aca="false">M213+N213</f>
        <v>0</v>
      </c>
      <c r="M213" s="155"/>
      <c r="N213" s="156"/>
      <c r="O213" s="157" t="n">
        <v>2</v>
      </c>
      <c r="P213" s="155" t="n">
        <v>4493.1</v>
      </c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" hidden="false" customHeight="true" outlineLevel="0" collapsed="false">
      <c r="A214" s="33"/>
      <c r="B214" s="34" t="s">
        <v>145</v>
      </c>
      <c r="C214" s="35" t="s">
        <v>20</v>
      </c>
      <c r="D214" s="35"/>
      <c r="E214" s="35" t="s">
        <v>98</v>
      </c>
      <c r="F214" s="36"/>
      <c r="G214" s="146" t="s">
        <v>22</v>
      </c>
      <c r="H214" s="169"/>
      <c r="I214" s="160"/>
      <c r="J214" s="160"/>
      <c r="K214" s="161"/>
      <c r="L214" s="161" t="n">
        <f aca="false">M214+N214</f>
        <v>0</v>
      </c>
      <c r="M214" s="161"/>
      <c r="N214" s="162"/>
      <c r="O214" s="163"/>
      <c r="P214" s="161"/>
      <c r="Q214" s="161" t="n">
        <f aca="false">R214+S214</f>
        <v>0</v>
      </c>
      <c r="R214" s="161"/>
      <c r="S214" s="16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33"/>
      <c r="B215" s="34"/>
      <c r="C215" s="34"/>
      <c r="D215" s="34"/>
      <c r="E215" s="34"/>
      <c r="F215" s="71"/>
      <c r="G215" s="164" t="s">
        <v>23</v>
      </c>
      <c r="H215" s="175"/>
      <c r="I215" s="165"/>
      <c r="J215" s="165"/>
      <c r="K215" s="166"/>
      <c r="L215" s="166" t="n">
        <f aca="false">M215+N215</f>
        <v>0</v>
      </c>
      <c r="M215" s="166"/>
      <c r="N215" s="167"/>
      <c r="O215" s="168"/>
      <c r="P215" s="166"/>
      <c r="Q215" s="166" t="n">
        <f aca="false">R215+S215</f>
        <v>0</v>
      </c>
      <c r="R215" s="166"/>
      <c r="S215" s="167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146</v>
      </c>
      <c r="C216" s="19" t="s">
        <v>20</v>
      </c>
      <c r="D216" s="19"/>
      <c r="E216" s="19" t="s">
        <v>25</v>
      </c>
      <c r="F216" s="22"/>
      <c r="G216" s="146" t="s">
        <v>22</v>
      </c>
      <c r="H216" s="173" t="n">
        <v>5</v>
      </c>
      <c r="I216" s="148" t="n">
        <v>4</v>
      </c>
      <c r="J216" s="148" t="n">
        <v>4</v>
      </c>
      <c r="K216" s="149" t="n">
        <v>2819.2</v>
      </c>
      <c r="L216" s="149" t="n">
        <f aca="false">M216+N216</f>
        <v>352.4</v>
      </c>
      <c r="M216" s="149" t="n">
        <v>352.4</v>
      </c>
      <c r="N216" s="150"/>
      <c r="O216" s="206" t="n">
        <v>1</v>
      </c>
      <c r="P216" s="149" t="n">
        <v>1546.68</v>
      </c>
      <c r="Q216" s="149" t="n">
        <f aca="false">R216+S216</f>
        <v>1546.68</v>
      </c>
      <c r="R216" s="149" t="n">
        <v>1546.68</v>
      </c>
      <c r="S216" s="15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219</v>
      </c>
      <c r="G217" s="152" t="s">
        <v>26</v>
      </c>
      <c r="H217" s="176"/>
      <c r="I217" s="154"/>
      <c r="J217" s="154"/>
      <c r="K217" s="155"/>
      <c r="L217" s="155" t="n">
        <f aca="false">M217+N217</f>
        <v>0</v>
      </c>
      <c r="M217" s="155" t="n">
        <v>0</v>
      </c>
      <c r="N217" s="156"/>
      <c r="O217" s="209" t="n">
        <v>1</v>
      </c>
      <c r="P217" s="155" t="n">
        <v>1585.8</v>
      </c>
      <c r="Q217" s="155" t="n">
        <f aca="false">R217+S217</f>
        <v>1585.8</v>
      </c>
      <c r="R217" s="155" t="n">
        <v>1585.8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54"/>
      <c r="B218" s="55" t="s">
        <v>147</v>
      </c>
      <c r="C218" s="56" t="s">
        <v>20</v>
      </c>
      <c r="D218" s="56"/>
      <c r="E218" s="56" t="s">
        <v>25</v>
      </c>
      <c r="F218" s="97"/>
      <c r="G218" s="146" t="s">
        <v>22</v>
      </c>
      <c r="H218" s="159" t="n">
        <v>3</v>
      </c>
      <c r="I218" s="160" t="n">
        <v>3</v>
      </c>
      <c r="J218" s="160" t="n">
        <v>3</v>
      </c>
      <c r="K218" s="161" t="n">
        <v>2093.26</v>
      </c>
      <c r="L218" s="161" t="n">
        <f aca="false">M218+N218</f>
        <v>0</v>
      </c>
      <c r="M218" s="161"/>
      <c r="N218" s="162"/>
      <c r="O218" s="163" t="n">
        <v>3</v>
      </c>
      <c r="P218" s="161" t="n">
        <v>14266.03</v>
      </c>
      <c r="Q218" s="161" t="n">
        <f aca="false">R218+S218</f>
        <v>0</v>
      </c>
      <c r="R218" s="161"/>
      <c r="S218" s="16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54"/>
      <c r="B219" s="55"/>
      <c r="C219" s="55"/>
      <c r="D219" s="55"/>
      <c r="E219" s="55"/>
      <c r="F219" s="26" t="s">
        <v>220</v>
      </c>
      <c r="G219" s="152" t="s">
        <v>26</v>
      </c>
      <c r="H219" s="171" t="n">
        <v>7</v>
      </c>
      <c r="I219" s="154" t="n">
        <v>1</v>
      </c>
      <c r="J219" s="154" t="n">
        <v>1</v>
      </c>
      <c r="K219" s="155" t="n">
        <v>6167</v>
      </c>
      <c r="L219" s="161" t="n">
        <f aca="false">M219+N219</f>
        <v>0</v>
      </c>
      <c r="M219" s="155" t="n">
        <v>0</v>
      </c>
      <c r="N219" s="156"/>
      <c r="O219" s="157" t="n">
        <v>5</v>
      </c>
      <c r="P219" s="155" t="n">
        <v>13038.8</v>
      </c>
      <c r="Q219" s="161" t="n">
        <f aca="false">R219+S219</f>
        <v>7576.6</v>
      </c>
      <c r="R219" s="155" t="n">
        <f aca="false">7048+528.6</f>
        <v>7576.6</v>
      </c>
      <c r="S219" s="211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true" outlineLevel="0" collapsed="false">
      <c r="A220" s="17"/>
      <c r="B220" s="18" t="s">
        <v>148</v>
      </c>
      <c r="C220" s="19" t="s">
        <v>20</v>
      </c>
      <c r="D220" s="19"/>
      <c r="E220" s="19" t="s">
        <v>21</v>
      </c>
      <c r="F220" s="22"/>
      <c r="G220" s="146" t="s">
        <v>22</v>
      </c>
      <c r="H220" s="159" t="n">
        <v>1</v>
      </c>
      <c r="I220" s="148" t="n">
        <v>1</v>
      </c>
      <c r="J220" s="148" t="n">
        <v>1</v>
      </c>
      <c r="K220" s="149" t="n">
        <v>436.1</v>
      </c>
      <c r="L220" s="149" t="n">
        <f aca="false">M220+N220</f>
        <v>0</v>
      </c>
      <c r="M220" s="149"/>
      <c r="N220" s="150"/>
      <c r="O220" s="151"/>
      <c r="P220" s="149"/>
      <c r="Q220" s="149" t="n">
        <f aca="false">R220+S220</f>
        <v>0</v>
      </c>
      <c r="R220" s="149"/>
      <c r="S220" s="15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17"/>
      <c r="B221" s="18"/>
      <c r="C221" s="18"/>
      <c r="D221" s="18"/>
      <c r="E221" s="18"/>
      <c r="F221" s="26" t="s">
        <v>248</v>
      </c>
      <c r="G221" s="152" t="s">
        <v>23</v>
      </c>
      <c r="H221" s="171" t="n">
        <v>2</v>
      </c>
      <c r="I221" s="154"/>
      <c r="J221" s="154"/>
      <c r="K221" s="155"/>
      <c r="L221" s="155" t="n">
        <f aca="false">M221+N221</f>
        <v>0</v>
      </c>
      <c r="M221" s="155"/>
      <c r="N221" s="156"/>
      <c r="O221" s="157" t="n">
        <v>1</v>
      </c>
      <c r="P221" s="155" t="n">
        <v>572.65</v>
      </c>
      <c r="Q221" s="155" t="n">
        <v>572.65</v>
      </c>
      <c r="R221" s="155" t="n">
        <v>572.65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99"/>
      <c r="B222" s="100" t="s">
        <v>149</v>
      </c>
      <c r="C222" s="100"/>
      <c r="D222" s="100"/>
      <c r="E222" s="100"/>
      <c r="F222" s="100"/>
      <c r="G222" s="212"/>
      <c r="H222" s="213" t="n">
        <f aca="false">SUM(H9:H221)</f>
        <v>861</v>
      </c>
      <c r="I222" s="214" t="n">
        <f aca="false">SUM(I9:I221)</f>
        <v>350</v>
      </c>
      <c r="J222" s="214" t="n">
        <f aca="false">SUM(J9:J221)</f>
        <v>379</v>
      </c>
      <c r="K222" s="215" t="n">
        <f aca="false">SUM(K9:K221)</f>
        <v>498012.21</v>
      </c>
      <c r="L222" s="215" t="n">
        <f aca="false">SUM(L9:L221)</f>
        <v>177918.21</v>
      </c>
      <c r="M222" s="215" t="n">
        <f aca="false">SUM(M9:M221)</f>
        <v>123178.58</v>
      </c>
      <c r="N222" s="215" t="n">
        <f aca="false">SUM(N9:N221)</f>
        <v>54739.63</v>
      </c>
      <c r="O222" s="213" t="n">
        <f aca="false">SUM(O9:O221)</f>
        <v>623</v>
      </c>
      <c r="P222" s="215" t="n">
        <f aca="false">SUM(P9:P221)</f>
        <v>1746293.93</v>
      </c>
      <c r="Q222" s="215" t="n">
        <f aca="false">SUM(Q9:Q221)</f>
        <v>784426.96</v>
      </c>
      <c r="R222" s="215" t="n">
        <f aca="false">SUM(R9:R221)</f>
        <v>386661.74</v>
      </c>
      <c r="S222" s="215" t="n">
        <f aca="false">SUM(S9:S221)</f>
        <v>397765.22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" hidden="false" customHeight="false" outlineLevel="0" collapsed="false">
      <c r="A223" s="2"/>
      <c r="B223" s="2"/>
      <c r="C223" s="2"/>
      <c r="D223" s="2"/>
      <c r="E223" s="2"/>
      <c r="F223" s="2"/>
      <c r="G223" s="2"/>
      <c r="I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2"/>
      <c r="B226" s="2"/>
      <c r="C226" s="2"/>
      <c r="D226" s="2"/>
      <c r="E226" s="2"/>
      <c r="F226" s="103"/>
      <c r="G226" s="104" t="s">
        <v>5</v>
      </c>
      <c r="H226" s="104"/>
      <c r="I226" s="104"/>
      <c r="J226" s="104"/>
      <c r="K226" s="104"/>
      <c r="L226" s="104"/>
      <c r="M226" s="104"/>
      <c r="N226" s="104" t="s">
        <v>6</v>
      </c>
      <c r="O226" s="104"/>
      <c r="P226" s="104"/>
      <c r="Q226" s="104"/>
      <c r="R226" s="104"/>
      <c r="S226" s="105" t="s">
        <v>150</v>
      </c>
      <c r="T226" s="105" t="s">
        <v>253</v>
      </c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103"/>
      <c r="G227" s="106" t="s">
        <v>13</v>
      </c>
      <c r="H227" s="106" t="s">
        <v>14</v>
      </c>
      <c r="I227" s="106" t="s">
        <v>15</v>
      </c>
      <c r="J227" s="106" t="s">
        <v>226</v>
      </c>
      <c r="K227" s="106" t="s">
        <v>16</v>
      </c>
      <c r="L227" s="106" t="s">
        <v>17</v>
      </c>
      <c r="M227" s="106" t="s">
        <v>18</v>
      </c>
      <c r="N227" s="106" t="s">
        <v>15</v>
      </c>
      <c r="O227" s="106" t="s">
        <v>226</v>
      </c>
      <c r="P227" s="106" t="s">
        <v>16</v>
      </c>
      <c r="Q227" s="106" t="s">
        <v>17</v>
      </c>
      <c r="R227" s="106" t="s">
        <v>18</v>
      </c>
      <c r="S227" s="105"/>
      <c r="T227" s="105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false" outlineLevel="0" collapsed="false">
      <c r="A228" s="2"/>
      <c r="B228" s="2"/>
      <c r="C228" s="2"/>
      <c r="D228" s="2"/>
      <c r="E228" s="2"/>
      <c r="F228" s="107" t="s">
        <v>22</v>
      </c>
      <c r="G228" s="108" t="n">
        <f aca="false">SUMIF($G$9:$G$221,$F$228,H9:H221)</f>
        <v>539</v>
      </c>
      <c r="H228" s="108" t="n">
        <f aca="false">SUMIF($G$9:$G$221,$F$228,I9:I221)</f>
        <v>307</v>
      </c>
      <c r="I228" s="108" t="n">
        <f aca="false">SUMIF($G$9:$G$221,$F$228,J9:J221)</f>
        <v>336</v>
      </c>
      <c r="J228" s="110" t="n">
        <f aca="false">SUMIF($G$9:$G$221,F228,$K$9:$K$221)</f>
        <v>416017.93</v>
      </c>
      <c r="K228" s="110" t="n">
        <f aca="false">SUMIF($G$9:$G$221,$F$228,L9:L221)</f>
        <v>170341.61</v>
      </c>
      <c r="L228" s="110" t="n">
        <f aca="false">SUMIF($G$9:$G$221,$F$228,M9:M221)</f>
        <v>118187.57</v>
      </c>
      <c r="M228" s="109" t="n">
        <f aca="false">SUMIF($G$9:$G$221,$F$228,N9:N221)</f>
        <v>52154.04</v>
      </c>
      <c r="N228" s="108" t="n">
        <f aca="false">SUMIF($G$9:$G$221,$F$228,O9:O221)</f>
        <v>433</v>
      </c>
      <c r="O228" s="110" t="n">
        <f aca="false">SUMIF($G$9:$G$221,F228,$P$9:$P$221)</f>
        <v>1217119.02</v>
      </c>
      <c r="P228" s="110" t="n">
        <f aca="false">SUMIF($G$9:$G$221,$F$228,Q9:Q221)</f>
        <v>683417.5</v>
      </c>
      <c r="Q228" s="110" t="n">
        <f aca="false">SUMIF($G$9:$G$221,$F$228,R9:R221)</f>
        <v>329393</v>
      </c>
      <c r="R228" s="110" t="n">
        <f aca="false">SUMIF($G$9:$G$221,$F$228,S9:S221)</f>
        <v>354024.5</v>
      </c>
      <c r="S228" s="110" t="n">
        <f aca="false">Q228+L228</f>
        <v>447580.57</v>
      </c>
      <c r="T228" s="111" t="n">
        <f aca="false">J228-L228+O228-Q228</f>
        <v>1185556.38</v>
      </c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107" t="s">
        <v>26</v>
      </c>
      <c r="G229" s="108" t="n">
        <f aca="false">SUMIF($G$9:$G$221,$F$229,H9:H221)</f>
        <v>195</v>
      </c>
      <c r="H229" s="108" t="n">
        <v>20</v>
      </c>
      <c r="I229" s="108" t="n">
        <f aca="false">SUMIF($G$9:$G$221,$F$229,J9:J221)</f>
        <v>24</v>
      </c>
      <c r="J229" s="110" t="n">
        <f aca="false">SUMIF($G$9:$G$221,F229,$K$9:$K$221)</f>
        <v>63127.08</v>
      </c>
      <c r="K229" s="110" t="n">
        <f aca="false">SUMIF($G$9:$G$221,$F$229,L9:L221)</f>
        <v>5638.4</v>
      </c>
      <c r="L229" s="110" t="n">
        <f aca="false">SUMIF($G$9:$G$221,$F$229,M9:M221)</f>
        <v>3052.81</v>
      </c>
      <c r="M229" s="109" t="n">
        <f aca="false">SUMIF($G$9:$G$221,$F$229,N9:N221)</f>
        <v>2585.59</v>
      </c>
      <c r="N229" s="108" t="n">
        <f aca="false">SUMIF($G$9:$G$221,$F$229,O9:O221)</f>
        <v>133</v>
      </c>
      <c r="O229" s="110" t="n">
        <f aca="false">SUMIF($G$9:$G$221,F229,$P$9:$P$221)</f>
        <v>401936.4</v>
      </c>
      <c r="P229" s="110" t="n">
        <f aca="false">SUMIF($G$9:$G$221,$F$229,Q9:Q221)</f>
        <v>82997.31</v>
      </c>
      <c r="Q229" s="110" t="n">
        <f aca="false">SUMIF($G$9:$G$221,$F$229,R9:R221)</f>
        <v>39256.59</v>
      </c>
      <c r="R229" s="110" t="n">
        <f aca="false">SUMIF($G$9:$G$221,$F$229,S9:S221)</f>
        <v>43740.72</v>
      </c>
      <c r="S229" s="110" t="n">
        <f aca="false">Q229+L229</f>
        <v>42309.4</v>
      </c>
      <c r="T229" s="111" t="n">
        <f aca="false">J229-L229+O229-Q229</f>
        <v>422754.08</v>
      </c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107" t="s">
        <v>23</v>
      </c>
      <c r="G230" s="108" t="n">
        <f aca="false">SUMIF($G$9:$G$221,$F$230,H9:H221)</f>
        <v>127</v>
      </c>
      <c r="H230" s="108" t="n">
        <f aca="false">SUMIF($G$9:$G$221,$F$230,I9:I221)</f>
        <v>19</v>
      </c>
      <c r="I230" s="108" t="n">
        <f aca="false">SUMIF($G$9:$G$221,$F$230,J9:J221)</f>
        <v>19</v>
      </c>
      <c r="J230" s="110" t="n">
        <f aca="false">SUMIF($G$9:$G$221,F230,$K$9:$K$221)</f>
        <v>18867.2</v>
      </c>
      <c r="K230" s="110" t="n">
        <f aca="false">SUMIF($G$9:$G$221,$F$230,L9:L221)</f>
        <v>1938.2</v>
      </c>
      <c r="L230" s="110" t="n">
        <f aca="false">SUMIF($G$9:$G$221,$F$230,M9:M221)</f>
        <v>1938.2</v>
      </c>
      <c r="M230" s="109" t="n">
        <f aca="false">SUMIF($G$9:$G$221,$F$230,N9:N221)</f>
        <v>0</v>
      </c>
      <c r="N230" s="108" t="n">
        <f aca="false">SUMIF($G$9:$G$221,$F$230,O9:O221)</f>
        <v>57</v>
      </c>
      <c r="O230" s="110" t="n">
        <f aca="false">SUMIF($G$9:$G$221,F230,$P$9:$P$221)</f>
        <v>127238.51</v>
      </c>
      <c r="P230" s="110" t="n">
        <f aca="false">SUMIF($G$9:$G$221,$F$230,Q9:Q221)</f>
        <v>18012.15</v>
      </c>
      <c r="Q230" s="110" t="n">
        <f aca="false">SUMIF($G$9:$G$221,$F$230,R9:R221)</f>
        <v>18012.15</v>
      </c>
      <c r="R230" s="110" t="n">
        <f aca="false">SUMIF($G$9:$G$221,$F$230,S9:S221)</f>
        <v>0</v>
      </c>
      <c r="S230" s="110" t="n">
        <f aca="false">Q230+L230</f>
        <v>19950.35</v>
      </c>
      <c r="T230" s="111" t="n">
        <f aca="false">J230-L230+O230-Q230</f>
        <v>126155.36</v>
      </c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16" t="n">
        <f aca="false">G230+G229+G228</f>
        <v>861</v>
      </c>
      <c r="H231" s="216" t="n">
        <f aca="false">H230+H229+H228</f>
        <v>346</v>
      </c>
      <c r="I231" s="216" t="n">
        <f aca="false">I230+I229+I228</f>
        <v>379</v>
      </c>
      <c r="J231" s="217" t="n">
        <f aca="false">J230+J229+J228</f>
        <v>498012.21</v>
      </c>
      <c r="K231" s="217" t="n">
        <f aca="false">K230+K229+K228</f>
        <v>177918.21</v>
      </c>
      <c r="L231" s="217" t="n">
        <f aca="false">L230+L229+L228</f>
        <v>123178.58</v>
      </c>
      <c r="M231" s="217" t="n">
        <f aca="false">M230+M229+M228</f>
        <v>54739.63</v>
      </c>
      <c r="N231" s="216" t="n">
        <f aca="false">N230+N229+N228</f>
        <v>623</v>
      </c>
      <c r="O231" s="217" t="n">
        <f aca="false">O230+O229+O228</f>
        <v>1746293.93</v>
      </c>
      <c r="P231" s="217" t="n">
        <f aca="false">P230+P229+P228</f>
        <v>784426.96</v>
      </c>
      <c r="Q231" s="217" t="n">
        <f aca="false">Q230+Q229+Q228</f>
        <v>386661.74</v>
      </c>
      <c r="R231" s="217" t="n">
        <f aca="false">R230+R229+R228</f>
        <v>397765.22</v>
      </c>
      <c r="S231" s="217" t="n">
        <f aca="false">S230+S229+S228</f>
        <v>509840.32</v>
      </c>
      <c r="T231" s="217" t="n">
        <f aca="false">T230+T229+T228</f>
        <v>1734465.82</v>
      </c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86" customFormat="false" ht="15" hidden="false" customHeight="false" outlineLevel="0" collapsed="false">
      <c r="N286" s="221" t="n">
        <f aca="false">N228-3</f>
        <v>430</v>
      </c>
      <c r="O286" s="229" t="n">
        <f aca="false">O228-3063.78</f>
        <v>1214055.24</v>
      </c>
    </row>
  </sheetData>
  <mergeCells count="52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5"/>
    <mergeCell ref="B93:B95"/>
    <mergeCell ref="C93:C95"/>
    <mergeCell ref="D93:D95"/>
    <mergeCell ref="E93:E95"/>
    <mergeCell ref="A96:A97"/>
    <mergeCell ref="B96:B97"/>
    <mergeCell ref="C96:C97"/>
    <mergeCell ref="D96:D97"/>
    <mergeCell ref="E96:E97"/>
    <mergeCell ref="A98:A99"/>
    <mergeCell ref="B98:B99"/>
    <mergeCell ref="C98:C99"/>
    <mergeCell ref="D98:D99"/>
    <mergeCell ref="E98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4"/>
    <mergeCell ref="B112:B114"/>
    <mergeCell ref="C112:C114"/>
    <mergeCell ref="D112:D114"/>
    <mergeCell ref="E112:E114"/>
    <mergeCell ref="A115:A116"/>
    <mergeCell ref="B115:B116"/>
    <mergeCell ref="C115:C116"/>
    <mergeCell ref="D115:D116"/>
    <mergeCell ref="E115:E116"/>
    <mergeCell ref="A117:A118"/>
    <mergeCell ref="B117:B118"/>
    <mergeCell ref="C117:C118"/>
    <mergeCell ref="D117:D118"/>
    <mergeCell ref="E117:E118"/>
    <mergeCell ref="A119:A120"/>
    <mergeCell ref="B119:B120"/>
    <mergeCell ref="C119:C120"/>
    <mergeCell ref="D119:D120"/>
    <mergeCell ref="E119:E120"/>
    <mergeCell ref="A121:A122"/>
    <mergeCell ref="B121:B122"/>
    <mergeCell ref="C121:C122"/>
    <mergeCell ref="D121:D122"/>
    <mergeCell ref="E121:E122"/>
    <mergeCell ref="A123:A125"/>
    <mergeCell ref="B123:B125"/>
    <mergeCell ref="C123:C125"/>
    <mergeCell ref="D123:D125"/>
    <mergeCell ref="E123:E125"/>
    <mergeCell ref="A126:A127"/>
    <mergeCell ref="B126:B127"/>
    <mergeCell ref="C126:C127"/>
    <mergeCell ref="D126:D127"/>
    <mergeCell ref="E126:E127"/>
    <mergeCell ref="A128:A130"/>
    <mergeCell ref="B128:B130"/>
    <mergeCell ref="C128:C130"/>
    <mergeCell ref="D128:D130"/>
    <mergeCell ref="E128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1"/>
    <mergeCell ref="B159:B161"/>
    <mergeCell ref="C159:C161"/>
    <mergeCell ref="D159:D161"/>
    <mergeCell ref="E159:E161"/>
    <mergeCell ref="A162:A163"/>
    <mergeCell ref="B162:B163"/>
    <mergeCell ref="C162:C163"/>
    <mergeCell ref="D162:D163"/>
    <mergeCell ref="E162:E163"/>
    <mergeCell ref="A164:A165"/>
    <mergeCell ref="B164:B165"/>
    <mergeCell ref="C164:C165"/>
    <mergeCell ref="D164:D165"/>
    <mergeCell ref="E164:E165"/>
    <mergeCell ref="A166:A167"/>
    <mergeCell ref="B166:B167"/>
    <mergeCell ref="C166:C167"/>
    <mergeCell ref="D166:D167"/>
    <mergeCell ref="E166:E167"/>
    <mergeCell ref="B168:B169"/>
    <mergeCell ref="D168:D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F226:F227"/>
    <mergeCell ref="G226:M226"/>
    <mergeCell ref="N226:R226"/>
    <mergeCell ref="S226:S227"/>
    <mergeCell ref="T226:T227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278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7" topLeftCell="A8" activePane="bottomLeft" state="frozen"/>
      <selection pane="topLeft" activeCell="A1" activeCellId="0" sqref="A1"/>
      <selection pane="bottomLeft" activeCell="B9" activeCellId="0" sqref="B9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16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50"/>
      <c r="O9" s="151" t="n">
        <v>4</v>
      </c>
      <c r="P9" s="149" t="n">
        <v>2037.73</v>
      </c>
      <c r="Q9" s="149" t="n">
        <f aca="false">R9+S9</f>
        <v>2037.73</v>
      </c>
      <c r="R9" s="149"/>
      <c r="S9" s="150" t="n">
        <v>2037.73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157" t="n">
        <v>1</v>
      </c>
      <c r="P10" s="155" t="n">
        <v>776.7</v>
      </c>
      <c r="Q10" s="155" t="n">
        <v>776.7</v>
      </c>
      <c r="R10" s="155" t="n">
        <v>776.7</v>
      </c>
      <c r="S10" s="156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12</v>
      </c>
      <c r="I11" s="160" t="n">
        <v>7</v>
      </c>
      <c r="J11" s="160" t="n">
        <v>8</v>
      </c>
      <c r="K11" s="161" t="n">
        <v>9438.15</v>
      </c>
      <c r="L11" s="161" t="n">
        <f aca="false">M11+N11</f>
        <v>3301.64</v>
      </c>
      <c r="M11" s="161"/>
      <c r="N11" s="162" t="n">
        <v>3301.64</v>
      </c>
      <c r="O11" s="163" t="n">
        <v>6</v>
      </c>
      <c r="P11" s="161" t="n">
        <v>21503.99</v>
      </c>
      <c r="Q11" s="161" t="n">
        <f aca="false">R11+S11</f>
        <v>5800.07</v>
      </c>
      <c r="R11" s="161"/>
      <c r="S11" s="162" t="n">
        <v>5800.07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167"/>
      <c r="O12" s="168" t="n">
        <v>1</v>
      </c>
      <c r="P12" s="166" t="n">
        <v>1585.8</v>
      </c>
      <c r="Q12" s="166" t="n">
        <f aca="false">R12+S12</f>
        <v>0</v>
      </c>
      <c r="R12" s="166"/>
      <c r="S12" s="167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16</v>
      </c>
      <c r="I13" s="148" t="n">
        <v>14</v>
      </c>
      <c r="J13" s="148" t="n">
        <v>18</v>
      </c>
      <c r="K13" s="149" t="n">
        <v>20385.74</v>
      </c>
      <c r="L13" s="149" t="n">
        <f aca="false">M13+N13</f>
        <v>9684.56</v>
      </c>
      <c r="M13" s="149" t="n">
        <v>9684.56</v>
      </c>
      <c r="N13" s="150"/>
      <c r="O13" s="206" t="n">
        <v>4</v>
      </c>
      <c r="P13" s="149" t="n">
        <v>12388.39</v>
      </c>
      <c r="Q13" s="149" t="n">
        <f aca="false">R13+S13</f>
        <v>9745.39</v>
      </c>
      <c r="R13" s="149" t="n">
        <v>4701.91</v>
      </c>
      <c r="S13" s="150" t="n">
        <v>5043.48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2</v>
      </c>
      <c r="I14" s="154"/>
      <c r="J14" s="154"/>
      <c r="K14" s="155"/>
      <c r="L14" s="155" t="n">
        <f aca="false">M14+N14</f>
        <v>0</v>
      </c>
      <c r="M14" s="155" t="n">
        <v>0</v>
      </c>
      <c r="N14" s="156"/>
      <c r="O14" s="209" t="n">
        <v>4</v>
      </c>
      <c r="P14" s="155" t="n">
        <v>5109.8</v>
      </c>
      <c r="Q14" s="155" t="n">
        <f aca="false">R14+S14</f>
        <v>3692.1</v>
      </c>
      <c r="R14" s="155" t="n">
        <f aca="false">1585.8+2106.3</f>
        <v>3692.1</v>
      </c>
      <c r="S14" s="156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62"/>
      <c r="O15" s="163"/>
      <c r="P15" s="161"/>
      <c r="Q15" s="161" t="n">
        <f aca="false">R15+S15</f>
        <v>0</v>
      </c>
      <c r="R15" s="161" t="n">
        <v>0</v>
      </c>
      <c r="S15" s="16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3</v>
      </c>
      <c r="I16" s="165"/>
      <c r="J16" s="165"/>
      <c r="K16" s="166"/>
      <c r="L16" s="166" t="n">
        <f aca="false">M16+N16</f>
        <v>0</v>
      </c>
      <c r="M16" s="166"/>
      <c r="N16" s="167"/>
      <c r="O16" s="168" t="n">
        <v>3</v>
      </c>
      <c r="P16" s="166" t="n">
        <v>19515.9</v>
      </c>
      <c r="Q16" s="166" t="n">
        <f aca="false">R16+S16</f>
        <v>0</v>
      </c>
      <c r="R16" s="166"/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/>
      <c r="P17" s="149"/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 t="n">
        <v>2</v>
      </c>
      <c r="I18" s="154" t="n">
        <v>1</v>
      </c>
      <c r="J18" s="154" t="n">
        <v>1</v>
      </c>
      <c r="K18" s="155" t="n">
        <v>704.8</v>
      </c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7</v>
      </c>
      <c r="I19" s="160" t="n">
        <v>4</v>
      </c>
      <c r="J19" s="160" t="n">
        <v>4</v>
      </c>
      <c r="K19" s="161" t="n">
        <v>4012.08</v>
      </c>
      <c r="L19" s="161" t="n">
        <f aca="false">M19+N19</f>
        <v>2267.7</v>
      </c>
      <c r="M19" s="161"/>
      <c r="N19" s="162" t="n">
        <v>2267.7</v>
      </c>
      <c r="O19" s="163" t="n">
        <v>12</v>
      </c>
      <c r="P19" s="161" t="n">
        <v>17766.28</v>
      </c>
      <c r="Q19" s="161" t="n">
        <f aca="false">R19+S19</f>
        <v>16182.38</v>
      </c>
      <c r="R19" s="161" t="n">
        <v>9903.11</v>
      </c>
      <c r="S19" s="162" t="n">
        <v>6279.27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17</v>
      </c>
      <c r="I21" s="160" t="n">
        <v>11</v>
      </c>
      <c r="J21" s="160" t="n">
        <v>16</v>
      </c>
      <c r="K21" s="161" t="n">
        <v>19707.08</v>
      </c>
      <c r="L21" s="161" t="n">
        <f aca="false">M21+N21</f>
        <v>12132.25</v>
      </c>
      <c r="M21" s="161" t="n">
        <v>7998.6</v>
      </c>
      <c r="N21" s="162" t="n">
        <v>4133.65</v>
      </c>
      <c r="O21" s="163" t="n">
        <v>16</v>
      </c>
      <c r="P21" s="161" t="n">
        <v>29046.42</v>
      </c>
      <c r="Q21" s="161" t="n">
        <f aca="false">R21+S21</f>
        <v>17792.17</v>
      </c>
      <c r="R21" s="161" t="n">
        <v>13470.86</v>
      </c>
      <c r="S21" s="162" t="n">
        <v>4321.31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67"/>
      <c r="O22" s="168"/>
      <c r="P22" s="166"/>
      <c r="Q22" s="166" t="n">
        <f aca="false">R22+S22</f>
        <v>0</v>
      </c>
      <c r="R22" s="166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9</v>
      </c>
      <c r="I23" s="148" t="n">
        <v>1</v>
      </c>
      <c r="J23" s="148" t="n">
        <v>1</v>
      </c>
      <c r="K23" s="149" t="n">
        <v>528.6</v>
      </c>
      <c r="L23" s="149" t="n">
        <f aca="false">M23+N23</f>
        <v>0</v>
      </c>
      <c r="M23" s="149"/>
      <c r="N23" s="150"/>
      <c r="O23" s="151"/>
      <c r="P23" s="149"/>
      <c r="Q23" s="149" t="n">
        <f aca="false">R23+S23</f>
        <v>0</v>
      </c>
      <c r="R23" s="149"/>
      <c r="S23" s="15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14</v>
      </c>
      <c r="I25" s="160" t="n">
        <v>9</v>
      </c>
      <c r="J25" s="160" t="n">
        <v>13</v>
      </c>
      <c r="K25" s="161" t="n">
        <v>21522.43</v>
      </c>
      <c r="L25" s="161" t="n">
        <f aca="false">M25+N25</f>
        <v>10416.76</v>
      </c>
      <c r="M25" s="161" t="n">
        <v>10416.76</v>
      </c>
      <c r="N25" s="162"/>
      <c r="O25" s="163" t="n">
        <v>7</v>
      </c>
      <c r="P25" s="161" t="n">
        <v>12143.43</v>
      </c>
      <c r="Q25" s="161" t="n">
        <f aca="false">R25+S25</f>
        <v>9706.58</v>
      </c>
      <c r="R25" s="161" t="n">
        <v>9706.58</v>
      </c>
      <c r="S25" s="16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/>
      <c r="J26" s="165"/>
      <c r="K26" s="166"/>
      <c r="L26" s="166" t="n">
        <f aca="false">M26+N26</f>
        <v>0</v>
      </c>
      <c r="M26" s="166"/>
      <c r="N26" s="167"/>
      <c r="O26" s="168" t="n">
        <v>7</v>
      </c>
      <c r="P26" s="166" t="n">
        <v>17972.4</v>
      </c>
      <c r="Q26" s="166" t="n">
        <f aca="false">R26+S26</f>
        <v>0</v>
      </c>
      <c r="R26" s="166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/>
      <c r="J27" s="148"/>
      <c r="K27" s="149"/>
      <c r="L27" s="149" t="n">
        <f aca="false">M27+N27</f>
        <v>0</v>
      </c>
      <c r="M27" s="149"/>
      <c r="N27" s="224"/>
      <c r="O27" s="151" t="n">
        <v>3</v>
      </c>
      <c r="P27" s="149" t="n">
        <v>6373.62</v>
      </c>
      <c r="Q27" s="149" t="n">
        <f aca="false">R27+S27</f>
        <v>6373.62</v>
      </c>
      <c r="R27" s="149" t="n">
        <v>3202.02</v>
      </c>
      <c r="S27" s="150" t="n">
        <v>3171.6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2</v>
      </c>
      <c r="J28" s="165" t="n">
        <v>2</v>
      </c>
      <c r="K28" s="166" t="n">
        <v>4052.6</v>
      </c>
      <c r="L28" s="166" t="n">
        <f aca="false">M28+N28</f>
        <v>0</v>
      </c>
      <c r="M28" s="166"/>
      <c r="N28" s="227"/>
      <c r="O28" s="157" t="n">
        <v>4</v>
      </c>
      <c r="P28" s="155" t="n">
        <v>14271.6</v>
      </c>
      <c r="Q28" s="155" t="n">
        <f aca="false">R28+S28</f>
        <v>7576.6</v>
      </c>
      <c r="R28" s="155" t="n">
        <f aca="false">5286+2290.6</f>
        <v>7576.6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/>
      <c r="D29" s="19"/>
      <c r="E29" s="19"/>
      <c r="F29" s="20"/>
      <c r="G29" s="146" t="s">
        <v>22</v>
      </c>
      <c r="H29" s="147" t="n">
        <v>6</v>
      </c>
      <c r="I29" s="148"/>
      <c r="J29" s="148"/>
      <c r="K29" s="149"/>
      <c r="L29" s="149" t="n">
        <f aca="false">M29+N29</f>
        <v>0</v>
      </c>
      <c r="M29" s="149"/>
      <c r="N29" s="150"/>
      <c r="O29" s="163"/>
      <c r="P29" s="161"/>
      <c r="Q29" s="161" t="n">
        <f aca="false">R29+S29</f>
        <v>0</v>
      </c>
      <c r="R29" s="161"/>
      <c r="S29" s="16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5</v>
      </c>
      <c r="I30" s="165"/>
      <c r="J30" s="165"/>
      <c r="K30" s="166"/>
      <c r="L30" s="166" t="n">
        <f aca="false">M30+N30</f>
        <v>0</v>
      </c>
      <c r="M30" s="166"/>
      <c r="N30" s="167"/>
      <c r="O30" s="168"/>
      <c r="P30" s="166"/>
      <c r="Q30" s="166" t="n">
        <f aca="false">R30+S30</f>
        <v>0</v>
      </c>
      <c r="R30" s="166"/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/>
      <c r="P31" s="149"/>
      <c r="Q31" s="149" t="n">
        <f aca="false">R31+S31</f>
        <v>0</v>
      </c>
      <c r="R31" s="149"/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 t="n">
        <v>2</v>
      </c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62"/>
      <c r="O33" s="163"/>
      <c r="P33" s="161"/>
      <c r="Q33" s="161" t="n">
        <f aca="false">R33+S33</f>
        <v>0</v>
      </c>
      <c r="R33" s="161"/>
      <c r="S33" s="16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7</v>
      </c>
      <c r="I35" s="160" t="n">
        <v>5</v>
      </c>
      <c r="J35" s="160" t="n">
        <v>5</v>
      </c>
      <c r="K35" s="161" t="n">
        <v>7486.21</v>
      </c>
      <c r="L35" s="161" t="n">
        <f aca="false">M35+N35</f>
        <v>4815.55</v>
      </c>
      <c r="M35" s="161" t="n">
        <v>4815.55</v>
      </c>
      <c r="N35" s="162"/>
      <c r="O35" s="163" t="n">
        <v>10</v>
      </c>
      <c r="P35" s="161" t="n">
        <v>39637.95</v>
      </c>
      <c r="Q35" s="161" t="n">
        <f aca="false">R35+S35</f>
        <v>22406.54</v>
      </c>
      <c r="R35" s="161" t="n">
        <v>17818.29</v>
      </c>
      <c r="S35" s="162" t="n">
        <v>4588.25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/>
      <c r="J36" s="154"/>
      <c r="K36" s="155"/>
      <c r="L36" s="155" t="n">
        <f aca="false">M36+N36</f>
        <v>0</v>
      </c>
      <c r="M36" s="155"/>
      <c r="N36" s="156"/>
      <c r="O36" s="157" t="n">
        <v>2</v>
      </c>
      <c r="P36" s="155" t="n">
        <v>7400.4</v>
      </c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7</v>
      </c>
      <c r="I37" s="160" t="n">
        <v>5</v>
      </c>
      <c r="J37" s="160" t="n">
        <v>6</v>
      </c>
      <c r="K37" s="161" t="n">
        <v>10844.41</v>
      </c>
      <c r="L37" s="161" t="n">
        <f aca="false">M37+N37</f>
        <v>3765.39</v>
      </c>
      <c r="M37" s="161" t="n">
        <v>1924.1</v>
      </c>
      <c r="N37" s="162" t="n">
        <v>1841.29</v>
      </c>
      <c r="O37" s="163" t="n">
        <v>13</v>
      </c>
      <c r="P37" s="161" t="n">
        <v>52304.05</v>
      </c>
      <c r="Q37" s="161" t="n">
        <f aca="false">R37+S37</f>
        <v>48833.49</v>
      </c>
      <c r="R37" s="161" t="n">
        <v>15233.45</v>
      </c>
      <c r="S37" s="162" t="n">
        <v>33600.04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67"/>
      <c r="O38" s="168"/>
      <c r="P38" s="166"/>
      <c r="Q38" s="166" t="n">
        <f aca="false">R38+S38</f>
        <v>0</v>
      </c>
      <c r="R38" s="166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2</v>
      </c>
      <c r="I39" s="148" t="n">
        <v>1</v>
      </c>
      <c r="J39" s="148" t="n">
        <v>1</v>
      </c>
      <c r="K39" s="149" t="n">
        <v>621.99</v>
      </c>
      <c r="L39" s="149" t="n">
        <f aca="false">M39+N39</f>
        <v>0</v>
      </c>
      <c r="M39" s="149"/>
      <c r="N39" s="150"/>
      <c r="O39" s="151"/>
      <c r="P39" s="149"/>
      <c r="Q39" s="149" t="n">
        <f aca="false">R39+S39</f>
        <v>0</v>
      </c>
      <c r="R39" s="149"/>
      <c r="S39" s="15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3</v>
      </c>
      <c r="I40" s="165"/>
      <c r="J40" s="165"/>
      <c r="K40" s="166"/>
      <c r="L40" s="166" t="n">
        <f aca="false">M40+N40</f>
        <v>0</v>
      </c>
      <c r="M40" s="166"/>
      <c r="N40" s="167"/>
      <c r="O40" s="168" t="n">
        <v>3</v>
      </c>
      <c r="P40" s="166" t="n">
        <v>13945.3</v>
      </c>
      <c r="Q40" s="166" t="n">
        <f aca="false">R40+S40</f>
        <v>0</v>
      </c>
      <c r="R40" s="166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/>
      <c r="I41" s="148"/>
      <c r="J41" s="148"/>
      <c r="K41" s="149"/>
      <c r="L41" s="149" t="n">
        <f aca="false">M41+N41</f>
        <v>0</v>
      </c>
      <c r="M41" s="149"/>
      <c r="N41" s="150"/>
      <c r="O41" s="206" t="n">
        <v>4</v>
      </c>
      <c r="P41" s="149" t="n">
        <v>12699.01</v>
      </c>
      <c r="Q41" s="149" t="n">
        <f aca="false">R41+S41</f>
        <v>4593.81</v>
      </c>
      <c r="R41" s="149"/>
      <c r="S41" s="150" t="n">
        <v>4593.81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2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209" t="n">
        <v>3</v>
      </c>
      <c r="P42" s="155" t="n">
        <v>11981.6</v>
      </c>
      <c r="Q42" s="155" t="n">
        <f aca="false">R42+S42</f>
        <v>528.6</v>
      </c>
      <c r="R42" s="155" t="n">
        <f aca="false">528.6</f>
        <v>528.6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62"/>
      <c r="O43" s="163"/>
      <c r="P43" s="161"/>
      <c r="Q43" s="161" t="n">
        <f aca="false">R43+S43</f>
        <v>0</v>
      </c>
      <c r="R43" s="161"/>
      <c r="S43" s="16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2</v>
      </c>
      <c r="I45" s="160"/>
      <c r="J45" s="160"/>
      <c r="K45" s="161"/>
      <c r="L45" s="161" t="n">
        <f aca="false">M45+N45</f>
        <v>0</v>
      </c>
      <c r="M45" s="161"/>
      <c r="N45" s="162"/>
      <c r="O45" s="163" t="n">
        <v>1</v>
      </c>
      <c r="P45" s="161" t="n">
        <v>5039.32</v>
      </c>
      <c r="Q45" s="161" t="n">
        <f aca="false">R45+S45</f>
        <v>5039.32</v>
      </c>
      <c r="R45" s="161" t="n">
        <v>5039.32</v>
      </c>
      <c r="S45" s="16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67"/>
      <c r="O46" s="168"/>
      <c r="P46" s="166"/>
      <c r="Q46" s="166" t="n">
        <f aca="false">R46+S46</f>
        <v>0</v>
      </c>
      <c r="R46" s="166"/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39</v>
      </c>
      <c r="I47" s="148" t="n">
        <v>35</v>
      </c>
      <c r="J47" s="148" t="n">
        <v>35</v>
      </c>
      <c r="K47" s="149" t="n">
        <v>29892.45</v>
      </c>
      <c r="L47" s="149" t="n">
        <f aca="false">M47+N47</f>
        <v>14941.16</v>
      </c>
      <c r="M47" s="149" t="n">
        <v>14941.16</v>
      </c>
      <c r="N47" s="150"/>
      <c r="O47" s="151"/>
      <c r="P47" s="149"/>
      <c r="Q47" s="149" t="n">
        <f aca="false">R47+S47</f>
        <v>0</v>
      </c>
      <c r="R47" s="149"/>
      <c r="S47" s="15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11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7082.9</v>
      </c>
      <c r="M49" s="161" t="n">
        <v>1830.37</v>
      </c>
      <c r="N49" s="162" t="n">
        <v>5252.53</v>
      </c>
      <c r="O49" s="163" t="n">
        <v>16</v>
      </c>
      <c r="P49" s="161" t="n">
        <v>60427.95</v>
      </c>
      <c r="Q49" s="161" t="n">
        <f aca="false">R49+S49</f>
        <v>38366.17</v>
      </c>
      <c r="R49" s="161" t="n">
        <v>34571.95</v>
      </c>
      <c r="S49" s="162" t="n">
        <v>3794.22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/>
      <c r="I51" s="160"/>
      <c r="J51" s="160"/>
      <c r="K51" s="161"/>
      <c r="L51" s="161" t="n">
        <f aca="false">M51+N51</f>
        <v>0</v>
      </c>
      <c r="M51" s="161"/>
      <c r="N51" s="162"/>
      <c r="O51" s="163" t="n">
        <v>3</v>
      </c>
      <c r="P51" s="161" t="n">
        <v>18745.92</v>
      </c>
      <c r="Q51" s="161" t="n">
        <f aca="false">R51+S51</f>
        <v>3805.92</v>
      </c>
      <c r="R51" s="161" t="n">
        <v>3805.92</v>
      </c>
      <c r="S51" s="16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1" t="n">
        <f aca="false">M52+N52</f>
        <v>0</v>
      </c>
      <c r="M52" s="166" t="n">
        <v>0</v>
      </c>
      <c r="N52" s="167"/>
      <c r="O52" s="168" t="n">
        <v>7</v>
      </c>
      <c r="P52" s="166" t="n">
        <v>14217.29</v>
      </c>
      <c r="Q52" s="161" t="n">
        <f aca="false">R52+S52</f>
        <v>5081.89</v>
      </c>
      <c r="R52" s="166" t="n">
        <f aca="false">1409.6+3672.29</f>
        <v>5081.89</v>
      </c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3</v>
      </c>
      <c r="I53" s="148"/>
      <c r="J53" s="148"/>
      <c r="K53" s="149"/>
      <c r="L53" s="149" t="n">
        <f aca="false">M53+N53</f>
        <v>0</v>
      </c>
      <c r="M53" s="149"/>
      <c r="N53" s="150"/>
      <c r="O53" s="151" t="n">
        <v>11</v>
      </c>
      <c r="P53" s="149" t="n">
        <v>43131.21</v>
      </c>
      <c r="Q53" s="149" t="n">
        <f aca="false">R53+S53</f>
        <v>43131.21</v>
      </c>
      <c r="R53" s="149"/>
      <c r="S53" s="150" t="n">
        <v>43131.21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67"/>
      <c r="O54" s="168"/>
      <c r="P54" s="166"/>
      <c r="Q54" s="166" t="n">
        <f aca="false">R54+S54</f>
        <v>0</v>
      </c>
      <c r="R54" s="166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155</v>
      </c>
      <c r="C55" s="19"/>
      <c r="D55" s="19"/>
      <c r="E55" s="19"/>
      <c r="F55" s="20"/>
      <c r="G55" s="146" t="s">
        <v>22</v>
      </c>
      <c r="H55" s="173" t="n">
        <v>9</v>
      </c>
      <c r="I55" s="148" t="n">
        <v>6</v>
      </c>
      <c r="J55" s="148" t="n">
        <v>6</v>
      </c>
      <c r="K55" s="149" t="n">
        <v>6422.49</v>
      </c>
      <c r="L55" s="149" t="n">
        <f aca="false">M55+N55</f>
        <v>0</v>
      </c>
      <c r="M55" s="149"/>
      <c r="N55" s="150"/>
      <c r="O55" s="151"/>
      <c r="P55" s="149"/>
      <c r="Q55" s="149" t="n">
        <f aca="false">R55+S55</f>
        <v>0</v>
      </c>
      <c r="R55" s="149"/>
      <c r="S55" s="15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71"/>
      <c r="G56" s="164" t="s">
        <v>26</v>
      </c>
      <c r="H56" s="177"/>
      <c r="I56" s="165"/>
      <c r="J56" s="165"/>
      <c r="K56" s="166"/>
      <c r="L56" s="166" t="n">
        <f aca="false">M56+N56</f>
        <v>0</v>
      </c>
      <c r="M56" s="166"/>
      <c r="N56" s="167"/>
      <c r="O56" s="168"/>
      <c r="P56" s="166"/>
      <c r="Q56" s="166" t="n">
        <f aca="false">R56+S56</f>
        <v>0</v>
      </c>
      <c r="R56" s="166"/>
      <c r="S56" s="167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17"/>
      <c r="B57" s="18" t="s">
        <v>221</v>
      </c>
      <c r="C57" s="19"/>
      <c r="D57" s="19"/>
      <c r="E57" s="19"/>
      <c r="F57" s="20"/>
      <c r="G57" s="146" t="s">
        <v>22</v>
      </c>
      <c r="H57" s="173" t="n">
        <v>6</v>
      </c>
      <c r="I57" s="148"/>
      <c r="J57" s="148"/>
      <c r="K57" s="149"/>
      <c r="L57" s="149" t="n">
        <f aca="false">M57+N57</f>
        <v>0</v>
      </c>
      <c r="M57" s="149"/>
      <c r="N57" s="150"/>
      <c r="O57" s="151"/>
      <c r="P57" s="149"/>
      <c r="Q57" s="149" t="n">
        <f aca="false">R57+S57</f>
        <v>0</v>
      </c>
      <c r="R57" s="149"/>
      <c r="S57" s="15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17"/>
      <c r="B58" s="18"/>
      <c r="C58" s="18"/>
      <c r="D58" s="18"/>
      <c r="E58" s="18"/>
      <c r="F58" s="26" t="s">
        <v>233</v>
      </c>
      <c r="G58" s="152" t="s">
        <v>23</v>
      </c>
      <c r="H58" s="174" t="n">
        <v>2</v>
      </c>
      <c r="I58" s="154"/>
      <c r="J58" s="154"/>
      <c r="K58" s="155"/>
      <c r="L58" s="155" t="n">
        <f aca="false">M58+N58</f>
        <v>0</v>
      </c>
      <c r="M58" s="155"/>
      <c r="N58" s="156"/>
      <c r="O58" s="157"/>
      <c r="P58" s="155"/>
      <c r="Q58" s="155" t="n">
        <f aca="false">R58+S58</f>
        <v>0</v>
      </c>
      <c r="R58" s="155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33"/>
      <c r="B59" s="34" t="s">
        <v>58</v>
      </c>
      <c r="C59" s="35" t="s">
        <v>20</v>
      </c>
      <c r="D59" s="35"/>
      <c r="E59" s="35" t="s">
        <v>52</v>
      </c>
      <c r="F59" s="36"/>
      <c r="G59" s="158" t="s">
        <v>22</v>
      </c>
      <c r="H59" s="159" t="n">
        <v>5</v>
      </c>
      <c r="I59" s="160" t="n">
        <v>2</v>
      </c>
      <c r="J59" s="160" t="n">
        <v>2</v>
      </c>
      <c r="K59" s="161" t="n">
        <v>2238.62</v>
      </c>
      <c r="L59" s="161" t="n">
        <f aca="false">M59+N59</f>
        <v>2238.62</v>
      </c>
      <c r="M59" s="161" t="n">
        <v>2238.62</v>
      </c>
      <c r="N59" s="162"/>
      <c r="O59" s="163" t="n">
        <v>8</v>
      </c>
      <c r="P59" s="161" t="n">
        <v>39387.3</v>
      </c>
      <c r="Q59" s="161" t="n">
        <f aca="false">R59+S59</f>
        <v>39387.3</v>
      </c>
      <c r="R59" s="161" t="n">
        <v>11963.05</v>
      </c>
      <c r="S59" s="162" t="n">
        <v>27424.25</v>
      </c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71"/>
      <c r="G60" s="164" t="s">
        <v>26</v>
      </c>
      <c r="H60" s="175"/>
      <c r="I60" s="165"/>
      <c r="J60" s="165"/>
      <c r="K60" s="166"/>
      <c r="L60" s="166" t="n">
        <f aca="false">M60+N60</f>
        <v>0</v>
      </c>
      <c r="M60" s="166"/>
      <c r="N60" s="167"/>
      <c r="O60" s="168"/>
      <c r="P60" s="166"/>
      <c r="Q60" s="166" t="n">
        <f aca="false">R60+S60</f>
        <v>0</v>
      </c>
      <c r="R60" s="166"/>
      <c r="S60" s="167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222</v>
      </c>
      <c r="C61" s="19"/>
      <c r="D61" s="49"/>
      <c r="E61" s="19"/>
      <c r="F61" s="22"/>
      <c r="G61" s="146" t="s">
        <v>22</v>
      </c>
      <c r="H61" s="147" t="n">
        <v>7</v>
      </c>
      <c r="I61" s="148" t="n">
        <v>1</v>
      </c>
      <c r="J61" s="148" t="n">
        <v>1</v>
      </c>
      <c r="K61" s="149" t="n">
        <v>3383.04</v>
      </c>
      <c r="L61" s="149" t="n">
        <f aca="false">M61+N61</f>
        <v>0</v>
      </c>
      <c r="M61" s="149"/>
      <c r="N61" s="150"/>
      <c r="O61" s="151"/>
      <c r="P61" s="149"/>
      <c r="Q61" s="149" t="n">
        <f aca="false">R61+S61</f>
        <v>0</v>
      </c>
      <c r="R61" s="149"/>
      <c r="S61" s="15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42" t="s">
        <v>234</v>
      </c>
      <c r="G62" s="164" t="s">
        <v>23</v>
      </c>
      <c r="H62" s="178" t="n">
        <v>1</v>
      </c>
      <c r="I62" s="165"/>
      <c r="J62" s="165"/>
      <c r="K62" s="166"/>
      <c r="L62" s="166" t="n">
        <f aca="false">M62+N62</f>
        <v>0</v>
      </c>
      <c r="M62" s="166"/>
      <c r="N62" s="167"/>
      <c r="O62" s="168"/>
      <c r="P62" s="166"/>
      <c r="Q62" s="166" t="n">
        <f aca="false">R62+S62</f>
        <v>0</v>
      </c>
      <c r="R62" s="166"/>
      <c r="S62" s="167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249</v>
      </c>
      <c r="C63" s="19"/>
      <c r="D63" s="49"/>
      <c r="E63" s="19"/>
      <c r="F63" s="22"/>
      <c r="G63" s="146" t="s">
        <v>22</v>
      </c>
      <c r="H63" s="147"/>
      <c r="I63" s="148"/>
      <c r="J63" s="148"/>
      <c r="K63" s="149"/>
      <c r="L63" s="149" t="n">
        <f aca="false">M63+N63</f>
        <v>0</v>
      </c>
      <c r="M63" s="149"/>
      <c r="N63" s="150"/>
      <c r="O63" s="206"/>
      <c r="P63" s="149"/>
      <c r="Q63" s="149" t="n">
        <f aca="false">R63+S63</f>
        <v>0</v>
      </c>
      <c r="R63" s="149"/>
      <c r="S63" s="15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23" t="s">
        <v>250</v>
      </c>
      <c r="G64" s="152" t="s">
        <v>26</v>
      </c>
      <c r="H64" s="176" t="n">
        <v>1</v>
      </c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33"/>
      <c r="B65" s="34" t="s">
        <v>59</v>
      </c>
      <c r="C65" s="35" t="s">
        <v>20</v>
      </c>
      <c r="D65" s="95"/>
      <c r="E65" s="35" t="s">
        <v>25</v>
      </c>
      <c r="F65" s="38"/>
      <c r="G65" s="158" t="s">
        <v>22</v>
      </c>
      <c r="H65" s="169"/>
      <c r="I65" s="160"/>
      <c r="J65" s="160"/>
      <c r="K65" s="161"/>
      <c r="L65" s="161" t="n">
        <f aca="false">M65+N65</f>
        <v>0</v>
      </c>
      <c r="M65" s="161"/>
      <c r="N65" s="162"/>
      <c r="O65" s="163"/>
      <c r="P65" s="161"/>
      <c r="Q65" s="161" t="n">
        <f aca="false">R65+S65</f>
        <v>0</v>
      </c>
      <c r="R65" s="161"/>
      <c r="S65" s="16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71"/>
      <c r="G66" s="164" t="s">
        <v>26</v>
      </c>
      <c r="H66" s="153"/>
      <c r="I66" s="165"/>
      <c r="J66" s="165"/>
      <c r="K66" s="166"/>
      <c r="L66" s="166" t="n">
        <f aca="false">M66+N66</f>
        <v>0</v>
      </c>
      <c r="M66" s="166"/>
      <c r="N66" s="167"/>
      <c r="O66" s="168"/>
      <c r="P66" s="166"/>
      <c r="Q66" s="166" t="n">
        <f aca="false">R66+S66</f>
        <v>0</v>
      </c>
      <c r="R66" s="166"/>
      <c r="S66" s="167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60</v>
      </c>
      <c r="C67" s="19" t="s">
        <v>20</v>
      </c>
      <c r="D67" s="19"/>
      <c r="E67" s="19" t="s">
        <v>21</v>
      </c>
      <c r="F67" s="22"/>
      <c r="G67" s="146" t="s">
        <v>22</v>
      </c>
      <c r="H67" s="169" t="n">
        <v>1</v>
      </c>
      <c r="I67" s="148"/>
      <c r="J67" s="148"/>
      <c r="K67" s="149"/>
      <c r="L67" s="149" t="n">
        <f aca="false">M67+N67</f>
        <v>0</v>
      </c>
      <c r="M67" s="149"/>
      <c r="N67" s="150"/>
      <c r="O67" s="151" t="n">
        <v>1</v>
      </c>
      <c r="P67" s="149" t="n">
        <v>881</v>
      </c>
      <c r="Q67" s="149" t="n">
        <f aca="false">R67+S67</f>
        <v>881</v>
      </c>
      <c r="R67" s="149"/>
      <c r="S67" s="150" t="n">
        <v>881</v>
      </c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17"/>
      <c r="B68" s="18"/>
      <c r="C68" s="18"/>
      <c r="D68" s="18"/>
      <c r="E68" s="18"/>
      <c r="F68" s="71"/>
      <c r="G68" s="164" t="s">
        <v>23</v>
      </c>
      <c r="H68" s="175"/>
      <c r="I68" s="165"/>
      <c r="J68" s="165"/>
      <c r="K68" s="166"/>
      <c r="L68" s="166" t="n">
        <f aca="false">M68+N68</f>
        <v>0</v>
      </c>
      <c r="M68" s="166"/>
      <c r="N68" s="167"/>
      <c r="O68" s="168"/>
      <c r="P68" s="166"/>
      <c r="Q68" s="166" t="n">
        <f aca="false">R68+S68</f>
        <v>0</v>
      </c>
      <c r="R68" s="166"/>
      <c r="S68" s="167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.75" hidden="false" customHeight="true" outlineLevel="0" collapsed="false">
      <c r="A69" s="17"/>
      <c r="B69" s="18" t="s">
        <v>223</v>
      </c>
      <c r="C69" s="19"/>
      <c r="D69" s="19"/>
      <c r="E69" s="19"/>
      <c r="F69" s="20"/>
      <c r="G69" s="146" t="s">
        <v>22</v>
      </c>
      <c r="H69" s="173" t="n">
        <v>6</v>
      </c>
      <c r="I69" s="148"/>
      <c r="J69" s="148"/>
      <c r="K69" s="149"/>
      <c r="L69" s="149" t="n">
        <f aca="false">M69+N69</f>
        <v>0</v>
      </c>
      <c r="M69" s="149"/>
      <c r="N69" s="150"/>
      <c r="O69" s="151"/>
      <c r="P69" s="149"/>
      <c r="Q69" s="149" t="n">
        <f aca="false">R69+S69</f>
        <v>0</v>
      </c>
      <c r="R69" s="149"/>
      <c r="S69" s="15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17"/>
      <c r="B70" s="18"/>
      <c r="C70" s="18"/>
      <c r="D70" s="18"/>
      <c r="E70" s="18"/>
      <c r="F70" s="26" t="s">
        <v>235</v>
      </c>
      <c r="G70" s="152" t="s">
        <v>23</v>
      </c>
      <c r="H70" s="174" t="n">
        <v>15</v>
      </c>
      <c r="I70" s="154" t="n">
        <v>2</v>
      </c>
      <c r="J70" s="154" t="n">
        <v>2</v>
      </c>
      <c r="K70" s="155" t="n">
        <v>2128.2</v>
      </c>
      <c r="L70" s="155" t="n">
        <f aca="false">M70+N70</f>
        <v>0</v>
      </c>
      <c r="M70" s="155"/>
      <c r="N70" s="156"/>
      <c r="O70" s="157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.75" hidden="false" customHeight="true" outlineLevel="0" collapsed="false">
      <c r="A71" s="33"/>
      <c r="B71" s="34" t="s">
        <v>61</v>
      </c>
      <c r="C71" s="35" t="s">
        <v>33</v>
      </c>
      <c r="D71" s="56" t="s">
        <v>62</v>
      </c>
      <c r="E71" s="35" t="s">
        <v>25</v>
      </c>
      <c r="F71" s="36"/>
      <c r="G71" s="158" t="s">
        <v>22</v>
      </c>
      <c r="H71" s="159" t="n">
        <v>4</v>
      </c>
      <c r="I71" s="160" t="n">
        <v>3</v>
      </c>
      <c r="J71" s="160" t="n">
        <v>3</v>
      </c>
      <c r="K71" s="161" t="n">
        <v>4510.72</v>
      </c>
      <c r="L71" s="161" t="n">
        <f aca="false">M71+N71</f>
        <v>1691.52</v>
      </c>
      <c r="M71" s="161"/>
      <c r="N71" s="162" t="n">
        <v>1691.52</v>
      </c>
      <c r="O71" s="163" t="n">
        <v>1</v>
      </c>
      <c r="P71" s="161" t="n">
        <v>5123.54</v>
      </c>
      <c r="Q71" s="161" t="n">
        <f aca="false">R71+S71</f>
        <v>5123.54</v>
      </c>
      <c r="R71" s="161"/>
      <c r="S71" s="162" t="n">
        <v>5123.54</v>
      </c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33"/>
      <c r="B72" s="34"/>
      <c r="C72" s="34"/>
      <c r="D72" s="56"/>
      <c r="E72" s="35"/>
      <c r="F72" s="42" t="s">
        <v>173</v>
      </c>
      <c r="G72" s="164" t="s">
        <v>26</v>
      </c>
      <c r="H72" s="153" t="n">
        <v>2</v>
      </c>
      <c r="I72" s="165" t="n">
        <v>1</v>
      </c>
      <c r="J72" s="165" t="n">
        <v>1</v>
      </c>
      <c r="K72" s="166" t="n">
        <v>704.8</v>
      </c>
      <c r="L72" s="166" t="n">
        <f aca="false">M72+N72</f>
        <v>0</v>
      </c>
      <c r="M72" s="166"/>
      <c r="N72" s="167"/>
      <c r="O72" s="168" t="n">
        <v>2</v>
      </c>
      <c r="P72" s="166" t="n">
        <v>3171.6</v>
      </c>
      <c r="Q72" s="166" t="n">
        <f aca="false">R72+S72</f>
        <v>0</v>
      </c>
      <c r="R72" s="166"/>
      <c r="S72" s="167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72"/>
      <c r="B73" s="73" t="s">
        <v>63</v>
      </c>
      <c r="C73" s="74" t="s">
        <v>20</v>
      </c>
      <c r="D73" s="74"/>
      <c r="E73" s="74" t="s">
        <v>25</v>
      </c>
      <c r="F73" s="20"/>
      <c r="G73" s="146" t="s">
        <v>22</v>
      </c>
      <c r="H73" s="169" t="n">
        <v>3</v>
      </c>
      <c r="I73" s="148"/>
      <c r="J73" s="148"/>
      <c r="K73" s="149"/>
      <c r="L73" s="149" t="n">
        <f aca="false">M73+N73</f>
        <v>0</v>
      </c>
      <c r="M73" s="149"/>
      <c r="N73" s="150"/>
      <c r="O73" s="151" t="n">
        <v>7</v>
      </c>
      <c r="P73" s="149" t="n">
        <v>16379.75</v>
      </c>
      <c r="Q73" s="149" t="n">
        <f aca="false">R73+S73</f>
        <v>8726.55</v>
      </c>
      <c r="R73" s="149" t="n">
        <v>2616.57</v>
      </c>
      <c r="S73" s="150" t="n">
        <v>6109.98</v>
      </c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72"/>
      <c r="B74" s="73"/>
      <c r="C74" s="73"/>
      <c r="D74" s="73"/>
      <c r="E74" s="73"/>
      <c r="F74" s="42" t="s">
        <v>174</v>
      </c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67"/>
      <c r="O74" s="168"/>
      <c r="P74" s="166"/>
      <c r="Q74" s="166" t="n">
        <f aca="false">R74+S74</f>
        <v>0</v>
      </c>
      <c r="R74" s="166"/>
      <c r="S74" s="167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72"/>
      <c r="B75" s="73" t="s">
        <v>64</v>
      </c>
      <c r="C75" s="74" t="s">
        <v>20</v>
      </c>
      <c r="D75" s="74"/>
      <c r="E75" s="74" t="s">
        <v>25</v>
      </c>
      <c r="F75" s="20"/>
      <c r="G75" s="146" t="s">
        <v>22</v>
      </c>
      <c r="H75" s="169"/>
      <c r="I75" s="148"/>
      <c r="J75" s="148"/>
      <c r="K75" s="149"/>
      <c r="L75" s="149" t="n">
        <f aca="false">M75+N75</f>
        <v>0</v>
      </c>
      <c r="M75" s="149"/>
      <c r="N75" s="150"/>
      <c r="O75" s="151"/>
      <c r="P75" s="149"/>
      <c r="Q75" s="149" t="n">
        <f aca="false">R75+S75</f>
        <v>0</v>
      </c>
      <c r="R75" s="149"/>
      <c r="S75" s="15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72"/>
      <c r="B76" s="73"/>
      <c r="C76" s="73"/>
      <c r="D76" s="73"/>
      <c r="E76" s="73"/>
      <c r="F76" s="71"/>
      <c r="G76" s="164" t="s">
        <v>26</v>
      </c>
      <c r="H76" s="153"/>
      <c r="I76" s="165"/>
      <c r="J76" s="165"/>
      <c r="K76" s="166"/>
      <c r="L76" s="166" t="n">
        <f aca="false">M76+N76</f>
        <v>0</v>
      </c>
      <c r="M76" s="166"/>
      <c r="N76" s="167"/>
      <c r="O76" s="168"/>
      <c r="P76" s="166"/>
      <c r="Q76" s="166" t="n">
        <f aca="false">R76+S76</f>
        <v>0</v>
      </c>
      <c r="R76" s="166"/>
      <c r="S76" s="167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17"/>
      <c r="B77" s="18" t="s">
        <v>65</v>
      </c>
      <c r="C77" s="19" t="s">
        <v>33</v>
      </c>
      <c r="D77" s="19" t="s">
        <v>66</v>
      </c>
      <c r="E77" s="19" t="s">
        <v>67</v>
      </c>
      <c r="F77" s="20"/>
      <c r="G77" s="146" t="s">
        <v>22</v>
      </c>
      <c r="H77" s="159" t="n">
        <v>5</v>
      </c>
      <c r="I77" s="148" t="n">
        <v>2</v>
      </c>
      <c r="J77" s="148" t="n">
        <v>2</v>
      </c>
      <c r="K77" s="149" t="n">
        <v>1573.47</v>
      </c>
      <c r="L77" s="149" t="n">
        <f aca="false">M77+N77</f>
        <v>1573.47</v>
      </c>
      <c r="M77" s="149" t="n">
        <v>704.8</v>
      </c>
      <c r="N77" s="150" t="n">
        <v>868.67</v>
      </c>
      <c r="O77" s="151" t="n">
        <v>5</v>
      </c>
      <c r="P77" s="149" t="n">
        <v>14207.76</v>
      </c>
      <c r="Q77" s="149" t="n">
        <f aca="false">R77+S77</f>
        <v>8219.9</v>
      </c>
      <c r="R77" s="149" t="n">
        <v>4384.96</v>
      </c>
      <c r="S77" s="150" t="n">
        <v>3834.94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42" t="s">
        <v>236</v>
      </c>
      <c r="G78" s="164" t="s">
        <v>23</v>
      </c>
      <c r="H78" s="172" t="n">
        <v>28</v>
      </c>
      <c r="I78" s="165" t="n">
        <v>4</v>
      </c>
      <c r="J78" s="165" t="n">
        <v>4</v>
      </c>
      <c r="K78" s="166" t="n">
        <v>3876.4</v>
      </c>
      <c r="L78" s="166" t="n">
        <v>0</v>
      </c>
      <c r="M78" s="166" t="n">
        <v>0</v>
      </c>
      <c r="N78" s="167"/>
      <c r="O78" s="168" t="n">
        <v>19</v>
      </c>
      <c r="P78" s="166" t="n">
        <v>46548.22</v>
      </c>
      <c r="Q78" s="166" t="n">
        <v>9955.3</v>
      </c>
      <c r="R78" s="166" t="n">
        <v>3788.3</v>
      </c>
      <c r="S78" s="167" t="n">
        <v>6167</v>
      </c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175</v>
      </c>
      <c r="C79" s="19"/>
      <c r="D79" s="19"/>
      <c r="E79" s="19"/>
      <c r="F79" s="137"/>
      <c r="G79" s="146" t="s">
        <v>22</v>
      </c>
      <c r="H79" s="147" t="n">
        <v>2</v>
      </c>
      <c r="I79" s="148" t="n">
        <v>1</v>
      </c>
      <c r="J79" s="148" t="n">
        <v>1</v>
      </c>
      <c r="K79" s="149" t="n">
        <v>872.19</v>
      </c>
      <c r="L79" s="149" t="n">
        <f aca="false">M79+N79</f>
        <v>0</v>
      </c>
      <c r="M79" s="149"/>
      <c r="N79" s="150"/>
      <c r="O79" s="151"/>
      <c r="P79" s="149"/>
      <c r="Q79" s="149" t="n">
        <f aca="false">R79+S79</f>
        <v>0</v>
      </c>
      <c r="R79" s="149"/>
      <c r="S79" s="15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" hidden="false" customHeight="false" outlineLevel="0" collapsed="false">
      <c r="A80" s="17"/>
      <c r="B80" s="18"/>
      <c r="C80" s="18"/>
      <c r="D80" s="18"/>
      <c r="E80" s="18"/>
      <c r="F80" s="89"/>
      <c r="G80" s="164" t="s">
        <v>26</v>
      </c>
      <c r="H80" s="178" t="n">
        <v>5</v>
      </c>
      <c r="I80" s="165" t="n">
        <v>1</v>
      </c>
      <c r="J80" s="165" t="n">
        <v>1</v>
      </c>
      <c r="K80" s="166" t="n">
        <v>2290.6</v>
      </c>
      <c r="L80" s="166" t="n">
        <f aca="false">M80+N80</f>
        <v>0</v>
      </c>
      <c r="M80" s="166"/>
      <c r="N80" s="167"/>
      <c r="O80" s="168"/>
      <c r="P80" s="166"/>
      <c r="Q80" s="166" t="n">
        <f aca="false">R80+S80</f>
        <v>0</v>
      </c>
      <c r="R80" s="166"/>
      <c r="S80" s="167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" hidden="false" customHeight="true" outlineLevel="0" collapsed="false">
      <c r="A81" s="17"/>
      <c r="B81" s="18" t="s">
        <v>68</v>
      </c>
      <c r="C81" s="19" t="s">
        <v>20</v>
      </c>
      <c r="D81" s="19"/>
      <c r="E81" s="19" t="s">
        <v>69</v>
      </c>
      <c r="F81" s="22"/>
      <c r="G81" s="146" t="s">
        <v>22</v>
      </c>
      <c r="H81" s="147" t="n">
        <v>4</v>
      </c>
      <c r="I81" s="148" t="n">
        <v>1</v>
      </c>
      <c r="J81" s="148" t="n">
        <v>1</v>
      </c>
      <c r="K81" s="149" t="n">
        <v>3217.1</v>
      </c>
      <c r="L81" s="149" t="n">
        <f aca="false">M81+N81</f>
        <v>0</v>
      </c>
      <c r="M81" s="149"/>
      <c r="N81" s="150"/>
      <c r="O81" s="151" t="n">
        <v>10</v>
      </c>
      <c r="P81" s="149" t="n">
        <v>18374.16</v>
      </c>
      <c r="Q81" s="149" t="n">
        <f aca="false">R81+S81</f>
        <v>16202.52</v>
      </c>
      <c r="R81" s="149" t="n">
        <v>3419.21</v>
      </c>
      <c r="S81" s="150" t="n">
        <v>12783.31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176</v>
      </c>
      <c r="G82" s="152" t="s">
        <v>26</v>
      </c>
      <c r="H82" s="153" t="n">
        <v>2</v>
      </c>
      <c r="I82" s="154" t="n">
        <v>1</v>
      </c>
      <c r="J82" s="154" t="n">
        <v>1</v>
      </c>
      <c r="K82" s="231" t="n">
        <v>2718.2</v>
      </c>
      <c r="L82" s="155" t="n">
        <f aca="false">M82+N82</f>
        <v>0</v>
      </c>
      <c r="M82" s="155"/>
      <c r="N82" s="156"/>
      <c r="O82" s="157"/>
      <c r="P82" s="155" t="n">
        <v>5462.2</v>
      </c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54"/>
      <c r="B83" s="55" t="s">
        <v>70</v>
      </c>
      <c r="C83" s="56" t="s">
        <v>20</v>
      </c>
      <c r="D83" s="56" t="s">
        <v>71</v>
      </c>
      <c r="E83" s="56" t="s">
        <v>25</v>
      </c>
      <c r="F83" s="36"/>
      <c r="G83" s="158" t="s">
        <v>22</v>
      </c>
      <c r="H83" s="169" t="n">
        <v>1</v>
      </c>
      <c r="I83" s="160"/>
      <c r="J83" s="160"/>
      <c r="K83" s="161"/>
      <c r="L83" s="161" t="n">
        <f aca="false">M83+N83</f>
        <v>0</v>
      </c>
      <c r="M83" s="161"/>
      <c r="N83" s="162"/>
      <c r="O83" s="163" t="n">
        <v>4</v>
      </c>
      <c r="P83" s="161" t="n">
        <v>27231.45</v>
      </c>
      <c r="Q83" s="161" t="n">
        <f aca="false">R83+S83</f>
        <v>0</v>
      </c>
      <c r="R83" s="161"/>
      <c r="S83" s="16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54"/>
      <c r="B84" s="55"/>
      <c r="C84" s="55"/>
      <c r="D84" s="55"/>
      <c r="E84" s="55"/>
      <c r="F84" s="26" t="s">
        <v>177</v>
      </c>
      <c r="G84" s="152" t="s">
        <v>26</v>
      </c>
      <c r="H84" s="153" t="n">
        <v>3</v>
      </c>
      <c r="I84" s="154"/>
      <c r="J84" s="154"/>
      <c r="K84" s="155"/>
      <c r="L84" s="155" t="n">
        <f aca="false">M84+N84</f>
        <v>0</v>
      </c>
      <c r="M84" s="155"/>
      <c r="N84" s="156"/>
      <c r="O84" s="157"/>
      <c r="P84" s="155"/>
      <c r="Q84" s="155" t="n">
        <f aca="false">R84+S84</f>
        <v>0</v>
      </c>
      <c r="R84" s="155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33"/>
      <c r="B85" s="34" t="s">
        <v>72</v>
      </c>
      <c r="C85" s="35" t="s">
        <v>20</v>
      </c>
      <c r="D85" s="35"/>
      <c r="E85" s="35" t="s">
        <v>52</v>
      </c>
      <c r="F85" s="36"/>
      <c r="G85" s="146" t="s">
        <v>22</v>
      </c>
      <c r="H85" s="159" t="n">
        <v>3</v>
      </c>
      <c r="I85" s="160" t="n">
        <v>1</v>
      </c>
      <c r="J85" s="160" t="n">
        <v>1</v>
      </c>
      <c r="K85" s="161" t="n">
        <v>2848.8</v>
      </c>
      <c r="L85" s="161" t="n">
        <f aca="false">M85+N85</f>
        <v>0</v>
      </c>
      <c r="M85" s="161"/>
      <c r="N85" s="162"/>
      <c r="O85" s="163" t="n">
        <v>1</v>
      </c>
      <c r="P85" s="161" t="n">
        <v>13674.03</v>
      </c>
      <c r="Q85" s="161" t="n">
        <f aca="false">R85+S85</f>
        <v>0</v>
      </c>
      <c r="R85" s="161"/>
      <c r="S85" s="16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33"/>
      <c r="B86" s="34"/>
      <c r="C86" s="34"/>
      <c r="D86" s="34"/>
      <c r="E86" s="34"/>
      <c r="F86" s="42" t="s">
        <v>178</v>
      </c>
      <c r="G86" s="164" t="s">
        <v>26</v>
      </c>
      <c r="H86" s="171" t="n">
        <v>2</v>
      </c>
      <c r="I86" s="165"/>
      <c r="J86" s="165"/>
      <c r="K86" s="166"/>
      <c r="L86" s="161" t="n">
        <f aca="false">M86+N86</f>
        <v>0</v>
      </c>
      <c r="M86" s="166" t="n">
        <v>0</v>
      </c>
      <c r="N86" s="167"/>
      <c r="O86" s="168" t="n">
        <v>3</v>
      </c>
      <c r="P86" s="166" t="n">
        <v>11108.48</v>
      </c>
      <c r="Q86" s="166" t="n">
        <f aca="false">R86+S86</f>
        <v>8641.68</v>
      </c>
      <c r="R86" s="166" t="n">
        <f aca="false">881</f>
        <v>881</v>
      </c>
      <c r="S86" s="167" t="n">
        <f aca="false">2466.8+5293.88</f>
        <v>7760.68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73</v>
      </c>
      <c r="C87" s="19" t="s">
        <v>20</v>
      </c>
      <c r="D87" s="19"/>
      <c r="E87" s="19" t="s">
        <v>52</v>
      </c>
      <c r="F87" s="20"/>
      <c r="G87" s="146" t="s">
        <v>22</v>
      </c>
      <c r="H87" s="159" t="n">
        <v>3</v>
      </c>
      <c r="I87" s="148" t="n">
        <v>2</v>
      </c>
      <c r="J87" s="148" t="n">
        <v>2</v>
      </c>
      <c r="K87" s="149" t="n">
        <v>2277.26</v>
      </c>
      <c r="L87" s="149" t="n">
        <f aca="false">M87+N87</f>
        <v>1395.5</v>
      </c>
      <c r="M87" s="149" t="n">
        <v>1395.5</v>
      </c>
      <c r="N87" s="150"/>
      <c r="O87" s="151" t="n">
        <v>2</v>
      </c>
      <c r="P87" s="149" t="n">
        <v>3239.04</v>
      </c>
      <c r="Q87" s="149" t="n">
        <f aca="false">R87+S87</f>
        <v>3239.04</v>
      </c>
      <c r="R87" s="149" t="n">
        <v>3239.04</v>
      </c>
      <c r="S87" s="15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26" t="s">
        <v>179</v>
      </c>
      <c r="G88" s="152" t="s">
        <v>26</v>
      </c>
      <c r="H88" s="153" t="n">
        <v>3</v>
      </c>
      <c r="I88" s="154" t="n">
        <v>3</v>
      </c>
      <c r="J88" s="154" t="n">
        <v>3</v>
      </c>
      <c r="K88" s="155" t="n">
        <v>8454.6</v>
      </c>
      <c r="L88" s="155" t="n">
        <f aca="false">M88+N88</f>
        <v>0</v>
      </c>
      <c r="M88" s="155"/>
      <c r="N88" s="156"/>
      <c r="O88" s="157" t="n">
        <v>1</v>
      </c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33"/>
      <c r="B89" s="34" t="s">
        <v>74</v>
      </c>
      <c r="C89" s="35" t="s">
        <v>33</v>
      </c>
      <c r="D89" s="35" t="s">
        <v>75</v>
      </c>
      <c r="E89" s="35" t="s">
        <v>25</v>
      </c>
      <c r="F89" s="36"/>
      <c r="G89" s="146" t="s">
        <v>22</v>
      </c>
      <c r="H89" s="159" t="n">
        <v>16</v>
      </c>
      <c r="I89" s="160" t="n">
        <v>8</v>
      </c>
      <c r="J89" s="160" t="n">
        <v>8</v>
      </c>
      <c r="K89" s="161" t="n">
        <v>10561.52</v>
      </c>
      <c r="L89" s="161" t="n">
        <f aca="false">M89+N89</f>
        <v>10561.52</v>
      </c>
      <c r="M89" s="161"/>
      <c r="N89" s="162" t="n">
        <v>10561.52</v>
      </c>
      <c r="O89" s="163" t="n">
        <v>19</v>
      </c>
      <c r="P89" s="161" t="n">
        <v>40874.04</v>
      </c>
      <c r="Q89" s="161" t="n">
        <f aca="false">R89+S89</f>
        <v>40347.41</v>
      </c>
      <c r="R89" s="161"/>
      <c r="S89" s="162" t="n">
        <v>40347.41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/>
      <c r="G90" s="164" t="s">
        <v>26</v>
      </c>
      <c r="H90" s="153"/>
      <c r="I90" s="165"/>
      <c r="J90" s="165"/>
      <c r="K90" s="166"/>
      <c r="L90" s="166" t="n">
        <f aca="false">M90+N90</f>
        <v>0</v>
      </c>
      <c r="M90" s="166"/>
      <c r="N90" s="167"/>
      <c r="O90" s="168" t="n">
        <v>4</v>
      </c>
      <c r="P90" s="166" t="n">
        <v>15858</v>
      </c>
      <c r="Q90" s="166" t="n">
        <f aca="false">R90+S90</f>
        <v>0</v>
      </c>
      <c r="R90" s="166"/>
      <c r="S90" s="167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72"/>
      <c r="B91" s="73" t="s">
        <v>76</v>
      </c>
      <c r="C91" s="74" t="s">
        <v>20</v>
      </c>
      <c r="D91" s="74" t="s">
        <v>180</v>
      </c>
      <c r="E91" s="74" t="s">
        <v>25</v>
      </c>
      <c r="F91" s="20"/>
      <c r="G91" s="146" t="s">
        <v>22</v>
      </c>
      <c r="H91" s="159" t="n">
        <v>8</v>
      </c>
      <c r="I91" s="148" t="n">
        <v>7</v>
      </c>
      <c r="J91" s="148" t="n">
        <v>7</v>
      </c>
      <c r="K91" s="149" t="n">
        <v>4413.25</v>
      </c>
      <c r="L91" s="149" t="n">
        <f aca="false">M91+N91</f>
        <v>599.08</v>
      </c>
      <c r="M91" s="149"/>
      <c r="N91" s="150" t="n">
        <v>599.08</v>
      </c>
      <c r="O91" s="151" t="n">
        <v>2</v>
      </c>
      <c r="P91" s="149" t="n">
        <v>12380.09</v>
      </c>
      <c r="Q91" s="149" t="n">
        <f aca="false">R91+S91</f>
        <v>3600.4</v>
      </c>
      <c r="R91" s="149"/>
      <c r="S91" s="150" t="n">
        <v>3600.4</v>
      </c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72"/>
      <c r="B92" s="73"/>
      <c r="C92" s="73"/>
      <c r="D92" s="73"/>
      <c r="E92" s="73"/>
      <c r="F92" s="42" t="s">
        <v>181</v>
      </c>
      <c r="G92" s="164" t="s">
        <v>26</v>
      </c>
      <c r="H92" s="171" t="n">
        <v>5</v>
      </c>
      <c r="I92" s="165"/>
      <c r="J92" s="165"/>
      <c r="K92" s="166"/>
      <c r="L92" s="166" t="n">
        <f aca="false">M92+N92</f>
        <v>0</v>
      </c>
      <c r="M92" s="166"/>
      <c r="N92" s="167"/>
      <c r="O92" s="168" t="n">
        <v>6</v>
      </c>
      <c r="P92" s="166" t="n">
        <v>8457.6</v>
      </c>
      <c r="Q92" s="166" t="n">
        <f aca="false">R92+S92</f>
        <v>0</v>
      </c>
      <c r="R92" s="166"/>
      <c r="S92" s="167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77</v>
      </c>
      <c r="C93" s="19" t="s">
        <v>38</v>
      </c>
      <c r="D93" s="19" t="s">
        <v>78</v>
      </c>
      <c r="E93" s="19" t="s">
        <v>25</v>
      </c>
      <c r="F93" s="22"/>
      <c r="G93" s="146" t="s">
        <v>22</v>
      </c>
      <c r="H93" s="169" t="n">
        <v>5</v>
      </c>
      <c r="I93" s="148" t="n">
        <v>5</v>
      </c>
      <c r="J93" s="148" t="n">
        <v>5</v>
      </c>
      <c r="K93" s="149" t="n">
        <v>2293.24</v>
      </c>
      <c r="L93" s="149" t="n">
        <f aca="false">M93+N93</f>
        <v>2293.24</v>
      </c>
      <c r="M93" s="149"/>
      <c r="N93" s="224" t="n">
        <v>2293.24</v>
      </c>
      <c r="O93" s="151" t="n">
        <v>3</v>
      </c>
      <c r="P93" s="149" t="n">
        <v>1673.9</v>
      </c>
      <c r="Q93" s="149" t="n">
        <f aca="false">R93+S93</f>
        <v>1673.9</v>
      </c>
      <c r="R93" s="149"/>
      <c r="S93" s="150" t="n">
        <v>1673.9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0" t="s">
        <v>182</v>
      </c>
      <c r="G94" s="180" t="s">
        <v>26</v>
      </c>
      <c r="H94" s="159" t="n">
        <v>2</v>
      </c>
      <c r="I94" s="181" t="n">
        <v>1</v>
      </c>
      <c r="J94" s="181" t="n">
        <v>1</v>
      </c>
      <c r="K94" s="182" t="n">
        <v>4581.2</v>
      </c>
      <c r="L94" s="182" t="n">
        <f aca="false">M94+N94</f>
        <v>0</v>
      </c>
      <c r="M94" s="182"/>
      <c r="N94" s="225"/>
      <c r="O94" s="184" t="n">
        <v>6</v>
      </c>
      <c r="P94" s="182" t="n">
        <v>19029.6</v>
      </c>
      <c r="Q94" s="182" t="n">
        <f aca="false">R94+S94</f>
        <v>3347.8</v>
      </c>
      <c r="R94" s="182" t="n">
        <f aca="false">1057.2+2290.6</f>
        <v>3347.8</v>
      </c>
      <c r="S94" s="183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false" outlineLevel="0" collapsed="false">
      <c r="A95" s="17"/>
      <c r="B95" s="18"/>
      <c r="C95" s="18"/>
      <c r="D95" s="18"/>
      <c r="E95" s="18"/>
      <c r="F95" s="85" t="s">
        <v>237</v>
      </c>
      <c r="G95" s="185" t="s">
        <v>23</v>
      </c>
      <c r="H95" s="186" t="n">
        <v>2</v>
      </c>
      <c r="I95" s="154"/>
      <c r="J95" s="154"/>
      <c r="K95" s="155"/>
      <c r="L95" s="155" t="n">
        <f aca="false">M95+N95</f>
        <v>0</v>
      </c>
      <c r="M95" s="155"/>
      <c r="N95" s="226"/>
      <c r="O95" s="157" t="n">
        <v>4</v>
      </c>
      <c r="P95" s="155" t="n">
        <v>8281.4</v>
      </c>
      <c r="Q95" s="155" t="n">
        <v>3524</v>
      </c>
      <c r="R95" s="155" t="n">
        <v>1938.2</v>
      </c>
      <c r="S95" s="156" t="n">
        <v>1585.8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" hidden="false" customHeight="true" outlineLevel="0" collapsed="false">
      <c r="A96" s="33"/>
      <c r="B96" s="34" t="s">
        <v>79</v>
      </c>
      <c r="C96" s="35" t="s">
        <v>20</v>
      </c>
      <c r="D96" s="35"/>
      <c r="E96" s="35" t="s">
        <v>52</v>
      </c>
      <c r="F96" s="38"/>
      <c r="G96" s="146" t="s">
        <v>22</v>
      </c>
      <c r="H96" s="159" t="n">
        <v>3</v>
      </c>
      <c r="I96" s="160" t="n">
        <v>2</v>
      </c>
      <c r="J96" s="160" t="n">
        <v>3</v>
      </c>
      <c r="K96" s="161" t="n">
        <v>5452.69</v>
      </c>
      <c r="L96" s="161" t="n">
        <f aca="false">M96+N96</f>
        <v>2518.96</v>
      </c>
      <c r="M96" s="161"/>
      <c r="N96" s="162" t="n">
        <v>2518.96</v>
      </c>
      <c r="O96" s="163" t="n">
        <v>4</v>
      </c>
      <c r="P96" s="161" t="n">
        <v>29707.53</v>
      </c>
      <c r="Q96" s="161" t="n">
        <f aca="false">R96+S96</f>
        <v>0</v>
      </c>
      <c r="R96" s="161"/>
      <c r="S96" s="16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33"/>
      <c r="B97" s="34"/>
      <c r="C97" s="34"/>
      <c r="D97" s="34"/>
      <c r="E97" s="34"/>
      <c r="F97" s="42"/>
      <c r="G97" s="164" t="s">
        <v>26</v>
      </c>
      <c r="H97" s="153"/>
      <c r="I97" s="165"/>
      <c r="J97" s="165"/>
      <c r="K97" s="166"/>
      <c r="L97" s="166" t="n">
        <f aca="false">M97+N97</f>
        <v>0</v>
      </c>
      <c r="M97" s="166"/>
      <c r="N97" s="167"/>
      <c r="O97" s="168"/>
      <c r="P97" s="166"/>
      <c r="Q97" s="166" t="n">
        <f aca="false">R97+S97</f>
        <v>0</v>
      </c>
      <c r="R97" s="166"/>
      <c r="S97" s="167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" hidden="false" customHeight="true" outlineLevel="0" collapsed="false">
      <c r="A98" s="72"/>
      <c r="B98" s="73" t="s">
        <v>80</v>
      </c>
      <c r="C98" s="74" t="s">
        <v>20</v>
      </c>
      <c r="D98" s="74"/>
      <c r="E98" s="74" t="s">
        <v>81</v>
      </c>
      <c r="F98" s="20"/>
      <c r="G98" s="146" t="s">
        <v>22</v>
      </c>
      <c r="H98" s="159" t="n">
        <v>3</v>
      </c>
      <c r="I98" s="148" t="n">
        <v>1</v>
      </c>
      <c r="J98" s="148" t="n">
        <v>1</v>
      </c>
      <c r="K98" s="149" t="n">
        <v>3473.61</v>
      </c>
      <c r="L98" s="149" t="n">
        <f aca="false">M98+N98</f>
        <v>3473.61</v>
      </c>
      <c r="M98" s="149" t="n">
        <v>3473.61</v>
      </c>
      <c r="N98" s="150"/>
      <c r="O98" s="151"/>
      <c r="P98" s="149"/>
      <c r="Q98" s="149" t="n">
        <f aca="false">R98+S98</f>
        <v>0</v>
      </c>
      <c r="R98" s="149"/>
      <c r="S98" s="150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72"/>
      <c r="B99" s="73"/>
      <c r="C99" s="73"/>
      <c r="D99" s="73"/>
      <c r="E99" s="73"/>
      <c r="F99" s="42" t="s">
        <v>183</v>
      </c>
      <c r="G99" s="164" t="s">
        <v>26</v>
      </c>
      <c r="H99" s="153"/>
      <c r="I99" s="165"/>
      <c r="J99" s="165"/>
      <c r="K99" s="166"/>
      <c r="L99" s="166" t="n">
        <f aca="false">M99+N99</f>
        <v>0</v>
      </c>
      <c r="M99" s="166"/>
      <c r="N99" s="167"/>
      <c r="O99" s="168"/>
      <c r="P99" s="166"/>
      <c r="Q99" s="166" t="n">
        <f aca="false">R99+S99</f>
        <v>0</v>
      </c>
      <c r="R99" s="166"/>
      <c r="S99" s="167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17"/>
      <c r="B100" s="18" t="s">
        <v>82</v>
      </c>
      <c r="C100" s="19" t="s">
        <v>20</v>
      </c>
      <c r="D100" s="19" t="s">
        <v>184</v>
      </c>
      <c r="E100" s="19" t="s">
        <v>25</v>
      </c>
      <c r="F100" s="22"/>
      <c r="G100" s="146" t="s">
        <v>22</v>
      </c>
      <c r="H100" s="159" t="n">
        <v>18</v>
      </c>
      <c r="I100" s="148" t="n">
        <v>14</v>
      </c>
      <c r="J100" s="148" t="n">
        <v>14</v>
      </c>
      <c r="K100" s="149" t="n">
        <v>9044.37</v>
      </c>
      <c r="L100" s="149" t="n">
        <f aca="false">M100+N100</f>
        <v>2195.46</v>
      </c>
      <c r="M100" s="149"/>
      <c r="N100" s="150" t="n">
        <v>2195.46</v>
      </c>
      <c r="O100" s="151" t="n">
        <v>2</v>
      </c>
      <c r="P100" s="149" t="n">
        <v>8372.97</v>
      </c>
      <c r="Q100" s="149" t="n">
        <f aca="false">R100+S100</f>
        <v>1321.5</v>
      </c>
      <c r="R100" s="149"/>
      <c r="S100" s="150" t="n">
        <v>1321.5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17"/>
      <c r="B101" s="18"/>
      <c r="C101" s="18"/>
      <c r="D101" s="18"/>
      <c r="E101" s="18"/>
      <c r="F101" s="42" t="s">
        <v>185</v>
      </c>
      <c r="G101" s="164" t="s">
        <v>26</v>
      </c>
      <c r="H101" s="175" t="n">
        <v>3</v>
      </c>
      <c r="I101" s="165"/>
      <c r="J101" s="165"/>
      <c r="K101" s="166"/>
      <c r="L101" s="166" t="n">
        <f aca="false">M101+N101</f>
        <v>0</v>
      </c>
      <c r="M101" s="166"/>
      <c r="N101" s="167"/>
      <c r="O101" s="168" t="n">
        <v>1</v>
      </c>
      <c r="P101" s="166" t="n">
        <v>3171.6</v>
      </c>
      <c r="Q101" s="166" t="n">
        <f aca="false">R101+S101</f>
        <v>0</v>
      </c>
      <c r="R101" s="166"/>
      <c r="S101" s="167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232"/>
      <c r="B102" s="233" t="s">
        <v>254</v>
      </c>
      <c r="C102" s="19" t="s">
        <v>20</v>
      </c>
      <c r="D102" s="19"/>
      <c r="E102" s="19" t="s">
        <v>25</v>
      </c>
      <c r="F102" s="20"/>
      <c r="G102" s="146" t="s">
        <v>22</v>
      </c>
      <c r="H102" s="173"/>
      <c r="I102" s="148"/>
      <c r="J102" s="148"/>
      <c r="K102" s="149"/>
      <c r="L102" s="149"/>
      <c r="M102" s="149"/>
      <c r="N102" s="150"/>
      <c r="O102" s="206"/>
      <c r="P102" s="149"/>
      <c r="Q102" s="149"/>
      <c r="R102" s="149"/>
      <c r="S102" s="15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false" outlineLevel="0" collapsed="false">
      <c r="A103" s="232"/>
      <c r="B103" s="233"/>
      <c r="C103" s="19"/>
      <c r="D103" s="19"/>
      <c r="E103" s="19"/>
      <c r="F103" s="26" t="s">
        <v>255</v>
      </c>
      <c r="G103" s="152" t="s">
        <v>26</v>
      </c>
      <c r="H103" s="174" t="n">
        <v>4</v>
      </c>
      <c r="I103" s="154"/>
      <c r="J103" s="154"/>
      <c r="K103" s="155"/>
      <c r="L103" s="155"/>
      <c r="M103" s="155"/>
      <c r="N103" s="156"/>
      <c r="O103" s="209"/>
      <c r="P103" s="155"/>
      <c r="Q103" s="155"/>
      <c r="R103" s="155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54"/>
      <c r="B104" s="55" t="s">
        <v>83</v>
      </c>
      <c r="C104" s="56" t="s">
        <v>20</v>
      </c>
      <c r="D104" s="56"/>
      <c r="E104" s="56" t="s">
        <v>25</v>
      </c>
      <c r="F104" s="36"/>
      <c r="G104" s="158" t="s">
        <v>22</v>
      </c>
      <c r="H104" s="159" t="n">
        <v>8</v>
      </c>
      <c r="I104" s="160" t="n">
        <v>5</v>
      </c>
      <c r="J104" s="160" t="n">
        <v>5</v>
      </c>
      <c r="K104" s="161" t="n">
        <v>4332.77</v>
      </c>
      <c r="L104" s="161" t="n">
        <f aca="false">M104+N104</f>
        <v>704.8</v>
      </c>
      <c r="M104" s="161"/>
      <c r="N104" s="162" t="n">
        <v>704.8</v>
      </c>
      <c r="O104" s="163" t="n">
        <v>2</v>
      </c>
      <c r="P104" s="161" t="n">
        <v>5828.06</v>
      </c>
      <c r="Q104" s="161" t="n">
        <f aca="false">R104+S104</f>
        <v>5828.06</v>
      </c>
      <c r="R104" s="161"/>
      <c r="S104" s="162" t="n">
        <v>5828.06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54"/>
      <c r="B105" s="55"/>
      <c r="C105" s="55"/>
      <c r="D105" s="55"/>
      <c r="E105" s="55"/>
      <c r="F105" s="26" t="s">
        <v>186</v>
      </c>
      <c r="G105" s="152" t="s">
        <v>26</v>
      </c>
      <c r="H105" s="153" t="n">
        <v>4</v>
      </c>
      <c r="I105" s="154"/>
      <c r="J105" s="154"/>
      <c r="K105" s="155"/>
      <c r="L105" s="155" t="n">
        <f aca="false">M105+N105</f>
        <v>0</v>
      </c>
      <c r="M105" s="155"/>
      <c r="N105" s="156"/>
      <c r="O105" s="157" t="n">
        <v>2</v>
      </c>
      <c r="P105" s="155" t="n">
        <v>11805.4</v>
      </c>
      <c r="Q105" s="155" t="n">
        <f aca="false">R105+S105</f>
        <v>0</v>
      </c>
      <c r="R105" s="155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33"/>
      <c r="B106" s="34" t="s">
        <v>84</v>
      </c>
      <c r="C106" s="35" t="s">
        <v>20</v>
      </c>
      <c r="D106" s="35"/>
      <c r="E106" s="35" t="s">
        <v>52</v>
      </c>
      <c r="F106" s="36"/>
      <c r="G106" s="146" t="s">
        <v>22</v>
      </c>
      <c r="H106" s="159" t="n">
        <v>16</v>
      </c>
      <c r="I106" s="160" t="n">
        <v>5</v>
      </c>
      <c r="J106" s="160" t="n">
        <v>5</v>
      </c>
      <c r="K106" s="161" t="n">
        <v>8072.6</v>
      </c>
      <c r="L106" s="161" t="n">
        <f aca="false">M106+N106</f>
        <v>1569.94</v>
      </c>
      <c r="M106" s="161"/>
      <c r="N106" s="162" t="n">
        <v>1569.94</v>
      </c>
      <c r="O106" s="163" t="n">
        <v>17</v>
      </c>
      <c r="P106" s="161" t="n">
        <v>25079.06</v>
      </c>
      <c r="Q106" s="161" t="n">
        <f aca="false">R106+S106</f>
        <v>24550.45</v>
      </c>
      <c r="R106" s="161"/>
      <c r="S106" s="162" t="n">
        <v>24550.45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71"/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67"/>
      <c r="O107" s="168"/>
      <c r="P107" s="166"/>
      <c r="Q107" s="166" t="n">
        <f aca="false">R107+S107</f>
        <v>0</v>
      </c>
      <c r="R107" s="166"/>
      <c r="S107" s="167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17"/>
      <c r="B108" s="18" t="s">
        <v>85</v>
      </c>
      <c r="C108" s="19" t="s">
        <v>20</v>
      </c>
      <c r="D108" s="19"/>
      <c r="E108" s="19" t="s">
        <v>25</v>
      </c>
      <c r="F108" s="87"/>
      <c r="G108" s="146" t="s">
        <v>22</v>
      </c>
      <c r="H108" s="169" t="n">
        <v>2</v>
      </c>
      <c r="I108" s="148"/>
      <c r="J108" s="148"/>
      <c r="K108" s="149"/>
      <c r="L108" s="149" t="n">
        <f aca="false">M108+N108</f>
        <v>0</v>
      </c>
      <c r="M108" s="149"/>
      <c r="N108" s="150"/>
      <c r="O108" s="151"/>
      <c r="P108" s="149"/>
      <c r="Q108" s="149" t="n">
        <f aca="false">R108+S108</f>
        <v>0</v>
      </c>
      <c r="R108" s="149"/>
      <c r="S108" s="15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88"/>
      <c r="G109" s="152" t="s">
        <v>26</v>
      </c>
      <c r="H109" s="153"/>
      <c r="I109" s="154"/>
      <c r="J109" s="154"/>
      <c r="K109" s="155"/>
      <c r="L109" s="155" t="n">
        <f aca="false">M109+N109</f>
        <v>0</v>
      </c>
      <c r="M109" s="155"/>
      <c r="N109" s="156"/>
      <c r="O109" s="157"/>
      <c r="P109" s="155"/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.75" hidden="false" customHeight="true" outlineLevel="0" collapsed="false">
      <c r="A110" s="17"/>
      <c r="B110" s="73" t="s">
        <v>86</v>
      </c>
      <c r="C110" s="74" t="s">
        <v>33</v>
      </c>
      <c r="D110" s="74" t="s">
        <v>87</v>
      </c>
      <c r="E110" s="74" t="s">
        <v>88</v>
      </c>
      <c r="F110" s="20"/>
      <c r="G110" s="146" t="s">
        <v>22</v>
      </c>
      <c r="H110" s="169" t="n">
        <v>15</v>
      </c>
      <c r="I110" s="148" t="n">
        <v>10</v>
      </c>
      <c r="J110" s="148" t="n">
        <v>10</v>
      </c>
      <c r="K110" s="149" t="n">
        <v>9566.53</v>
      </c>
      <c r="L110" s="149" t="n">
        <f aca="false">M110+N110</f>
        <v>6747.33</v>
      </c>
      <c r="M110" s="149" t="n">
        <v>6747.33</v>
      </c>
      <c r="N110" s="150"/>
      <c r="O110" s="151" t="n">
        <v>12</v>
      </c>
      <c r="P110" s="149" t="n">
        <v>12627.56</v>
      </c>
      <c r="Q110" s="149" t="n">
        <f aca="false">R110+S110</f>
        <v>8224.14</v>
      </c>
      <c r="R110" s="149" t="n">
        <v>8224.14</v>
      </c>
      <c r="S110" s="15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17"/>
      <c r="B111" s="73"/>
      <c r="C111" s="73"/>
      <c r="D111" s="73"/>
      <c r="E111" s="73"/>
      <c r="F111" s="42" t="s">
        <v>238</v>
      </c>
      <c r="G111" s="164" t="s">
        <v>23</v>
      </c>
      <c r="H111" s="171" t="n">
        <v>12</v>
      </c>
      <c r="I111" s="165" t="n">
        <v>5</v>
      </c>
      <c r="J111" s="165" t="n">
        <v>5</v>
      </c>
      <c r="K111" s="166" t="n">
        <v>7048</v>
      </c>
      <c r="L111" s="166" t="n">
        <v>2995.4</v>
      </c>
      <c r="M111" s="166"/>
      <c r="N111" s="167" t="n">
        <v>2995.4</v>
      </c>
      <c r="O111" s="168" t="n">
        <v>7</v>
      </c>
      <c r="P111" s="166" t="n">
        <v>15065.1</v>
      </c>
      <c r="Q111" s="166" t="n">
        <v>6255.1</v>
      </c>
      <c r="R111" s="166" t="n">
        <v>4316.9</v>
      </c>
      <c r="S111" s="167" t="n">
        <v>1938.2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89</v>
      </c>
      <c r="C112" s="19" t="s">
        <v>20</v>
      </c>
      <c r="D112" s="19" t="s">
        <v>90</v>
      </c>
      <c r="E112" s="19" t="s">
        <v>42</v>
      </c>
      <c r="F112" s="20"/>
      <c r="G112" s="146" t="s">
        <v>22</v>
      </c>
      <c r="H112" s="159" t="n">
        <v>14</v>
      </c>
      <c r="I112" s="148" t="n">
        <v>2</v>
      </c>
      <c r="J112" s="148" t="n">
        <v>2</v>
      </c>
      <c r="K112" s="149" t="n">
        <v>8527.08</v>
      </c>
      <c r="L112" s="149" t="n">
        <f aca="false">M112+N112</f>
        <v>8527.08</v>
      </c>
      <c r="M112" s="149"/>
      <c r="N112" s="150" t="n">
        <v>8527.08</v>
      </c>
      <c r="O112" s="151" t="n">
        <v>13</v>
      </c>
      <c r="P112" s="149" t="n">
        <v>45706.08</v>
      </c>
      <c r="Q112" s="149" t="n">
        <f aca="false">R112+S112</f>
        <v>24491.76</v>
      </c>
      <c r="R112" s="149" t="n">
        <v>14024.79</v>
      </c>
      <c r="S112" s="150" t="n">
        <v>10466.97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26" t="s">
        <v>239</v>
      </c>
      <c r="G113" s="152" t="s">
        <v>23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33"/>
      <c r="B114" s="34" t="s">
        <v>91</v>
      </c>
      <c r="C114" s="35" t="s">
        <v>33</v>
      </c>
      <c r="D114" s="35" t="s">
        <v>92</v>
      </c>
      <c r="E114" s="35" t="s">
        <v>25</v>
      </c>
      <c r="F114" s="38" t="s">
        <v>239</v>
      </c>
      <c r="G114" s="146" t="s">
        <v>22</v>
      </c>
      <c r="H114" s="159" t="n">
        <v>15</v>
      </c>
      <c r="I114" s="160" t="n">
        <v>3</v>
      </c>
      <c r="J114" s="160" t="n">
        <v>3</v>
      </c>
      <c r="K114" s="161" t="n">
        <v>4915.98</v>
      </c>
      <c r="L114" s="161" t="n">
        <f aca="false">M114+N114</f>
        <v>3805.92</v>
      </c>
      <c r="M114" s="161"/>
      <c r="N114" s="162" t="n">
        <v>3805.92</v>
      </c>
      <c r="O114" s="163" t="n">
        <v>8</v>
      </c>
      <c r="P114" s="161" t="n">
        <v>57142.54</v>
      </c>
      <c r="Q114" s="161" t="n">
        <f aca="false">R114+S114</f>
        <v>27118.06</v>
      </c>
      <c r="R114" s="161" t="n">
        <v>2537.28</v>
      </c>
      <c r="S114" s="162" t="n">
        <v>24580.78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33"/>
      <c r="B115" s="34"/>
      <c r="C115" s="34"/>
      <c r="D115" s="34"/>
      <c r="E115" s="34"/>
      <c r="F115" s="89"/>
      <c r="G115" s="187" t="s">
        <v>23</v>
      </c>
      <c r="H115" s="169"/>
      <c r="I115" s="188"/>
      <c r="J115" s="188"/>
      <c r="K115" s="189"/>
      <c r="L115" s="189" t="n">
        <f aca="false">M115+N115</f>
        <v>0</v>
      </c>
      <c r="M115" s="189"/>
      <c r="N115" s="190"/>
      <c r="O115" s="191"/>
      <c r="P115" s="189"/>
      <c r="Q115" s="189" t="n">
        <f aca="false">R115+S115</f>
        <v>0</v>
      </c>
      <c r="R115" s="189"/>
      <c r="S115" s="190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.75" hidden="false" customHeight="true" outlineLevel="0" collapsed="false">
      <c r="A116" s="33"/>
      <c r="B116" s="34"/>
      <c r="C116" s="34"/>
      <c r="D116" s="34"/>
      <c r="E116" s="34"/>
      <c r="F116" s="42" t="s">
        <v>187</v>
      </c>
      <c r="G116" s="164" t="s">
        <v>26</v>
      </c>
      <c r="H116" s="171" t="n">
        <v>5</v>
      </c>
      <c r="I116" s="165" t="n">
        <v>1</v>
      </c>
      <c r="J116" s="165" t="n">
        <v>1</v>
      </c>
      <c r="K116" s="166" t="n">
        <v>2290.6</v>
      </c>
      <c r="L116" s="166" t="n">
        <f aca="false">M116+N116</f>
        <v>2290.6</v>
      </c>
      <c r="M116" s="166"/>
      <c r="N116" s="167" t="n">
        <v>2290.6</v>
      </c>
      <c r="O116" s="168" t="n">
        <v>6</v>
      </c>
      <c r="P116" s="166" t="n">
        <v>29143.12</v>
      </c>
      <c r="Q116" s="166" t="n">
        <f aca="false">R116+S116</f>
        <v>29143.481</v>
      </c>
      <c r="R116" s="166"/>
      <c r="S116" s="167" t="n">
        <f aca="false">4052.6+5990.8+7611.841+11488.24</f>
        <v>29143.481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 t="s">
        <v>93</v>
      </c>
      <c r="C117" s="19" t="s">
        <v>20</v>
      </c>
      <c r="D117" s="49"/>
      <c r="E117" s="19" t="s">
        <v>50</v>
      </c>
      <c r="F117" s="87"/>
      <c r="G117" s="146" t="s">
        <v>22</v>
      </c>
      <c r="H117" s="169" t="n">
        <v>2</v>
      </c>
      <c r="I117" s="148"/>
      <c r="J117" s="148"/>
      <c r="K117" s="149"/>
      <c r="L117" s="149" t="n">
        <f aca="false">M117+N117</f>
        <v>0</v>
      </c>
      <c r="M117" s="149"/>
      <c r="N117" s="150"/>
      <c r="O117" s="151"/>
      <c r="P117" s="149"/>
      <c r="Q117" s="149" t="n">
        <f aca="false">R117+S117</f>
        <v>0</v>
      </c>
      <c r="R117" s="149"/>
      <c r="S117" s="150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17"/>
      <c r="B118" s="18"/>
      <c r="C118" s="18"/>
      <c r="D118" s="18"/>
      <c r="E118" s="18"/>
      <c r="F118" s="88" t="s">
        <v>188</v>
      </c>
      <c r="G118" s="152" t="s">
        <v>26</v>
      </c>
      <c r="H118" s="171" t="n">
        <v>6</v>
      </c>
      <c r="I118" s="154"/>
      <c r="J118" s="154"/>
      <c r="K118" s="155"/>
      <c r="L118" s="155" t="n">
        <f aca="false">M118+N118</f>
        <v>0</v>
      </c>
      <c r="M118" s="155"/>
      <c r="N118" s="156"/>
      <c r="O118" s="157"/>
      <c r="P118" s="155"/>
      <c r="Q118" s="155" t="n">
        <f aca="false">R118+S118</f>
        <v>0</v>
      </c>
      <c r="R118" s="155"/>
      <c r="S118" s="156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" hidden="false" customHeight="true" outlineLevel="0" collapsed="false">
      <c r="A119" s="54"/>
      <c r="B119" s="55" t="s">
        <v>94</v>
      </c>
      <c r="C119" s="56" t="s">
        <v>20</v>
      </c>
      <c r="D119" s="56"/>
      <c r="E119" s="56" t="s">
        <v>52</v>
      </c>
      <c r="F119" s="36"/>
      <c r="G119" s="158" t="s">
        <v>22</v>
      </c>
      <c r="H119" s="159" t="n">
        <v>7</v>
      </c>
      <c r="I119" s="160" t="n">
        <v>3</v>
      </c>
      <c r="J119" s="160" t="n">
        <v>3</v>
      </c>
      <c r="K119" s="161" t="n">
        <v>2133.78</v>
      </c>
      <c r="L119" s="161" t="n">
        <f aca="false">M119+N119</f>
        <v>1436.03</v>
      </c>
      <c r="M119" s="161" t="n">
        <v>563.84</v>
      </c>
      <c r="N119" s="162" t="n">
        <v>872.19</v>
      </c>
      <c r="O119" s="163" t="n">
        <v>5</v>
      </c>
      <c r="P119" s="161" t="n">
        <v>7694.53</v>
      </c>
      <c r="Q119" s="161" t="n">
        <f aca="false">R119+S119</f>
        <v>7694.53</v>
      </c>
      <c r="R119" s="161" t="n">
        <v>3894.06</v>
      </c>
      <c r="S119" s="162" t="n">
        <v>3800.47</v>
      </c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54"/>
      <c r="B120" s="55"/>
      <c r="C120" s="55"/>
      <c r="D120" s="55"/>
      <c r="E120" s="55"/>
      <c r="F120" s="42" t="s">
        <v>189</v>
      </c>
      <c r="G120" s="164" t="s">
        <v>26</v>
      </c>
      <c r="H120" s="171" t="n">
        <v>9</v>
      </c>
      <c r="I120" s="154" t="n">
        <v>1</v>
      </c>
      <c r="J120" s="154" t="n">
        <v>1</v>
      </c>
      <c r="K120" s="155" t="n">
        <v>2446.8</v>
      </c>
      <c r="L120" s="155" t="n">
        <f aca="false">M120+N120</f>
        <v>0</v>
      </c>
      <c r="M120" s="155"/>
      <c r="N120" s="156"/>
      <c r="O120" s="157" t="n">
        <v>2</v>
      </c>
      <c r="P120" s="155" t="n">
        <v>6871.8</v>
      </c>
      <c r="Q120" s="155" t="n">
        <f aca="false">R120+S120</f>
        <v>0</v>
      </c>
      <c r="R120" s="155"/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33"/>
      <c r="B121" s="34" t="s">
        <v>95</v>
      </c>
      <c r="C121" s="35" t="s">
        <v>33</v>
      </c>
      <c r="D121" s="35" t="s">
        <v>96</v>
      </c>
      <c r="E121" s="35" t="s">
        <v>88</v>
      </c>
      <c r="F121" s="22"/>
      <c r="G121" s="146" t="s">
        <v>22</v>
      </c>
      <c r="H121" s="159" t="n">
        <v>14</v>
      </c>
      <c r="I121" s="160" t="n">
        <v>8</v>
      </c>
      <c r="J121" s="192" t="n">
        <v>8</v>
      </c>
      <c r="K121" s="161" t="n">
        <v>11316.44</v>
      </c>
      <c r="L121" s="161" t="n">
        <f aca="false">M121+N121</f>
        <v>11316.44</v>
      </c>
      <c r="M121" s="161" t="n">
        <v>11316.44</v>
      </c>
      <c r="N121" s="162"/>
      <c r="O121" s="163"/>
      <c r="P121" s="161"/>
      <c r="Q121" s="161" t="n">
        <f aca="false">R121+S121</f>
        <v>0</v>
      </c>
      <c r="R121" s="161"/>
      <c r="S121" s="16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33"/>
      <c r="B122" s="34"/>
      <c r="C122" s="34"/>
      <c r="D122" s="34"/>
      <c r="E122" s="34"/>
      <c r="F122" s="42" t="s">
        <v>240</v>
      </c>
      <c r="G122" s="164" t="s">
        <v>23</v>
      </c>
      <c r="H122" s="171" t="n">
        <v>6</v>
      </c>
      <c r="I122" s="165"/>
      <c r="J122" s="165"/>
      <c r="K122" s="166"/>
      <c r="L122" s="166" t="n">
        <f aca="false">M122+N122</f>
        <v>0</v>
      </c>
      <c r="M122" s="166"/>
      <c r="N122" s="167"/>
      <c r="O122" s="168" t="n">
        <v>1</v>
      </c>
      <c r="P122" s="166" t="n">
        <v>6167</v>
      </c>
      <c r="Q122" s="166" t="n">
        <f aca="false">R122+S122</f>
        <v>0</v>
      </c>
      <c r="R122" s="166"/>
      <c r="S122" s="167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72"/>
      <c r="B123" s="73" t="s">
        <v>97</v>
      </c>
      <c r="C123" s="74" t="s">
        <v>20</v>
      </c>
      <c r="D123" s="74"/>
      <c r="E123" s="74" t="s">
        <v>98</v>
      </c>
      <c r="F123" s="20"/>
      <c r="G123" s="146" t="s">
        <v>22</v>
      </c>
      <c r="H123" s="159" t="n">
        <v>4</v>
      </c>
      <c r="I123" s="148" t="n">
        <v>2</v>
      </c>
      <c r="J123" s="148" t="n">
        <v>2</v>
      </c>
      <c r="K123" s="149" t="n">
        <v>2223.64</v>
      </c>
      <c r="L123" s="149" t="n">
        <f aca="false">M123+N123</f>
        <v>1569.94</v>
      </c>
      <c r="M123" s="149"/>
      <c r="N123" s="150" t="n">
        <v>1569.94</v>
      </c>
      <c r="O123" s="151" t="n">
        <v>6</v>
      </c>
      <c r="P123" s="149" t="n">
        <v>19174.92</v>
      </c>
      <c r="Q123" s="149" t="n">
        <f aca="false">R123+S123</f>
        <v>14088.14</v>
      </c>
      <c r="R123" s="149"/>
      <c r="S123" s="150" t="n">
        <v>14088.14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72"/>
      <c r="B124" s="73"/>
      <c r="C124" s="73"/>
      <c r="D124" s="73"/>
      <c r="E124" s="73"/>
      <c r="F124" s="42" t="s">
        <v>241</v>
      </c>
      <c r="G124" s="164" t="s">
        <v>23</v>
      </c>
      <c r="H124" s="172" t="n">
        <v>8</v>
      </c>
      <c r="I124" s="165" t="n">
        <v>4</v>
      </c>
      <c r="J124" s="165" t="n">
        <v>4</v>
      </c>
      <c r="K124" s="166" t="n">
        <v>1409.6</v>
      </c>
      <c r="L124" s="166" t="n">
        <v>1409.6</v>
      </c>
      <c r="M124" s="166"/>
      <c r="N124" s="167" t="n">
        <v>1409.6</v>
      </c>
      <c r="O124" s="168" t="n">
        <v>8</v>
      </c>
      <c r="P124" s="166" t="n">
        <v>16210.4</v>
      </c>
      <c r="Q124" s="166" t="n">
        <v>1233.4</v>
      </c>
      <c r="R124" s="166" t="n">
        <v>1233.4</v>
      </c>
      <c r="S124" s="167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 t="s">
        <v>156</v>
      </c>
      <c r="C125" s="19"/>
      <c r="D125" s="19"/>
      <c r="E125" s="19"/>
      <c r="F125" s="20"/>
      <c r="G125" s="146" t="s">
        <v>22</v>
      </c>
      <c r="H125" s="173" t="n">
        <v>7</v>
      </c>
      <c r="I125" s="148" t="n">
        <v>5</v>
      </c>
      <c r="J125" s="148" t="n">
        <v>5</v>
      </c>
      <c r="K125" s="149" t="n">
        <v>10191.4</v>
      </c>
      <c r="L125" s="149" t="n">
        <f aca="false">M125+N125</f>
        <v>6364.34</v>
      </c>
      <c r="M125" s="149" t="n">
        <v>6364.34</v>
      </c>
      <c r="N125" s="150"/>
      <c r="O125" s="151"/>
      <c r="P125" s="149"/>
      <c r="Q125" s="149" t="n">
        <f aca="false">R125+S125</f>
        <v>0</v>
      </c>
      <c r="R125" s="149"/>
      <c r="S125" s="15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97"/>
      <c r="G126" s="187" t="s">
        <v>26</v>
      </c>
      <c r="H126" s="172" t="n">
        <v>5</v>
      </c>
      <c r="I126" s="188"/>
      <c r="J126" s="188"/>
      <c r="K126" s="189"/>
      <c r="L126" s="189" t="n">
        <f aca="false">M126+N126</f>
        <v>0</v>
      </c>
      <c r="M126" s="189"/>
      <c r="N126" s="190"/>
      <c r="O126" s="191"/>
      <c r="P126" s="189"/>
      <c r="Q126" s="189" t="n">
        <f aca="false">R126+S126</f>
        <v>0</v>
      </c>
      <c r="R126" s="189"/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17"/>
      <c r="B127" s="18"/>
      <c r="C127" s="18"/>
      <c r="D127" s="18"/>
      <c r="E127" s="18"/>
      <c r="F127" s="71"/>
      <c r="G127" s="164" t="s">
        <v>23</v>
      </c>
      <c r="H127" s="177"/>
      <c r="I127" s="165"/>
      <c r="J127" s="165"/>
      <c r="K127" s="166"/>
      <c r="L127" s="166" t="n">
        <f aca="false">M127+N127</f>
        <v>0</v>
      </c>
      <c r="M127" s="166"/>
      <c r="N127" s="167"/>
      <c r="O127" s="168"/>
      <c r="P127" s="166"/>
      <c r="Q127" s="166" t="n">
        <f aca="false">R127+S127</f>
        <v>0</v>
      </c>
      <c r="R127" s="166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17"/>
      <c r="B128" s="18" t="s">
        <v>190</v>
      </c>
      <c r="C128" s="19" t="s">
        <v>33</v>
      </c>
      <c r="D128" s="19" t="s">
        <v>256</v>
      </c>
      <c r="E128" s="19" t="s">
        <v>257</v>
      </c>
      <c r="F128" s="20"/>
      <c r="G128" s="146" t="s">
        <v>22</v>
      </c>
      <c r="H128" s="173" t="n">
        <v>4</v>
      </c>
      <c r="I128" s="148"/>
      <c r="J128" s="148"/>
      <c r="K128" s="149"/>
      <c r="L128" s="149" t="n">
        <f aca="false">M128+N128</f>
        <v>0</v>
      </c>
      <c r="M128" s="149"/>
      <c r="N128" s="150"/>
      <c r="O128" s="151"/>
      <c r="P128" s="149"/>
      <c r="Q128" s="149" t="n">
        <f aca="false">R128+S128</f>
        <v>0</v>
      </c>
      <c r="R128" s="149"/>
      <c r="S128" s="150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/>
      <c r="C129" s="18"/>
      <c r="D129" s="18"/>
      <c r="E129" s="18"/>
      <c r="F129" s="26" t="s">
        <v>242</v>
      </c>
      <c r="G129" s="152" t="s">
        <v>23</v>
      </c>
      <c r="H129" s="174"/>
      <c r="I129" s="154"/>
      <c r="J129" s="154"/>
      <c r="K129" s="155"/>
      <c r="L129" s="155" t="n">
        <f aca="false">M129+N129</f>
        <v>0</v>
      </c>
      <c r="M129" s="155"/>
      <c r="N129" s="156"/>
      <c r="O129" s="157"/>
      <c r="P129" s="155"/>
      <c r="Q129" s="155" t="n">
        <f aca="false">R129+S129</f>
        <v>0</v>
      </c>
      <c r="R129" s="155"/>
      <c r="S129" s="156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54"/>
      <c r="B130" s="55" t="s">
        <v>99</v>
      </c>
      <c r="C130" s="56" t="s">
        <v>33</v>
      </c>
      <c r="D130" s="56" t="s">
        <v>100</v>
      </c>
      <c r="E130" s="56" t="s">
        <v>101</v>
      </c>
      <c r="F130" s="36"/>
      <c r="G130" s="158" t="s">
        <v>22</v>
      </c>
      <c r="H130" s="159" t="n">
        <v>17</v>
      </c>
      <c r="I130" s="160" t="n">
        <v>14</v>
      </c>
      <c r="J130" s="160" t="n">
        <v>14</v>
      </c>
      <c r="K130" s="161" t="n">
        <v>4096.65</v>
      </c>
      <c r="L130" s="161" t="n">
        <f aca="false">M130+N130</f>
        <v>2378.7</v>
      </c>
      <c r="M130" s="161" t="n">
        <v>396.45</v>
      </c>
      <c r="N130" s="162" t="n">
        <v>1982.25</v>
      </c>
      <c r="O130" s="163" t="n">
        <v>18</v>
      </c>
      <c r="P130" s="161" t="n">
        <v>23143</v>
      </c>
      <c r="Q130" s="161" t="n">
        <f aca="false">R130+S130</f>
        <v>13947.56</v>
      </c>
      <c r="R130" s="161" t="n">
        <v>13683.26</v>
      </c>
      <c r="S130" s="162" t="n">
        <v>264.3</v>
      </c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54"/>
      <c r="B131" s="55"/>
      <c r="C131" s="55"/>
      <c r="D131" s="55"/>
      <c r="E131" s="55"/>
      <c r="F131" s="80" t="s">
        <v>191</v>
      </c>
      <c r="G131" s="180" t="s">
        <v>26</v>
      </c>
      <c r="H131" s="169" t="n">
        <v>6</v>
      </c>
      <c r="I131" s="181" t="n">
        <v>4</v>
      </c>
      <c r="J131" s="181" t="n">
        <v>4</v>
      </c>
      <c r="K131" s="182" t="n">
        <v>2643</v>
      </c>
      <c r="L131" s="182" t="n">
        <f aca="false">M131+N131</f>
        <v>0</v>
      </c>
      <c r="M131" s="182"/>
      <c r="N131" s="183"/>
      <c r="O131" s="184" t="n">
        <v>2</v>
      </c>
      <c r="P131" s="182" t="n">
        <v>5374.1</v>
      </c>
      <c r="Q131" s="161" t="n">
        <f aca="false">R131+S131</f>
        <v>1673.9</v>
      </c>
      <c r="R131" s="182" t="n">
        <v>1673.9</v>
      </c>
      <c r="S131" s="183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/>
      <c r="G132" s="164" t="s">
        <v>23</v>
      </c>
      <c r="H132" s="175"/>
      <c r="I132" s="165"/>
      <c r="J132" s="165"/>
      <c r="K132" s="166"/>
      <c r="L132" s="166" t="n">
        <f aca="false">M132+N132</f>
        <v>0</v>
      </c>
      <c r="M132" s="166"/>
      <c r="N132" s="167"/>
      <c r="O132" s="168"/>
      <c r="P132" s="166"/>
      <c r="Q132" s="166" t="n">
        <f aca="false">R132+S132</f>
        <v>0</v>
      </c>
      <c r="R132" s="166"/>
      <c r="S132" s="167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 t="s">
        <v>224</v>
      </c>
      <c r="C133" s="19"/>
      <c r="D133" s="19"/>
      <c r="E133" s="19"/>
      <c r="F133" s="20"/>
      <c r="G133" s="146" t="s">
        <v>22</v>
      </c>
      <c r="H133" s="147" t="n">
        <v>2</v>
      </c>
      <c r="I133" s="148"/>
      <c r="J133" s="148"/>
      <c r="K133" s="149"/>
      <c r="L133" s="149" t="n">
        <f aca="false">M133+N133</f>
        <v>0</v>
      </c>
      <c r="M133" s="149"/>
      <c r="N133" s="150"/>
      <c r="O133" s="151"/>
      <c r="P133" s="149"/>
      <c r="Q133" s="149" t="n">
        <f aca="false">R133+S133</f>
        <v>0</v>
      </c>
      <c r="R133" s="149"/>
      <c r="S133" s="15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152" t="s">
        <v>26</v>
      </c>
      <c r="H134" s="176" t="n">
        <v>4</v>
      </c>
      <c r="I134" s="154"/>
      <c r="J134" s="154"/>
      <c r="K134" s="155"/>
      <c r="L134" s="155" t="n">
        <f aca="false">M134+N134</f>
        <v>0</v>
      </c>
      <c r="M134" s="155"/>
      <c r="N134" s="156"/>
      <c r="O134" s="157"/>
      <c r="P134" s="155"/>
      <c r="Q134" s="155" t="n">
        <f aca="false">R134+S134</f>
        <v>0</v>
      </c>
      <c r="R134" s="155"/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33"/>
      <c r="B135" s="34" t="s">
        <v>102</v>
      </c>
      <c r="C135" s="35" t="s">
        <v>20</v>
      </c>
      <c r="D135" s="35"/>
      <c r="E135" s="35" t="s">
        <v>25</v>
      </c>
      <c r="F135" s="36"/>
      <c r="G135" s="158" t="s">
        <v>22</v>
      </c>
      <c r="H135" s="169" t="n">
        <v>12</v>
      </c>
      <c r="I135" s="160" t="n">
        <v>7</v>
      </c>
      <c r="J135" s="160" t="n">
        <v>7</v>
      </c>
      <c r="K135" s="161" t="n">
        <v>4228.8</v>
      </c>
      <c r="L135" s="161" t="n">
        <f aca="false">M135+N135</f>
        <v>1057.2</v>
      </c>
      <c r="M135" s="161"/>
      <c r="N135" s="162" t="n">
        <v>1057.2</v>
      </c>
      <c r="O135" s="163" t="n">
        <v>6</v>
      </c>
      <c r="P135" s="161" t="n">
        <v>20530.3</v>
      </c>
      <c r="Q135" s="161" t="n">
        <f aca="false">R135+S135</f>
        <v>7521.1</v>
      </c>
      <c r="R135" s="161" t="n">
        <v>3068.73</v>
      </c>
      <c r="S135" s="162" t="n">
        <v>4452.37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 t="s">
        <v>192</v>
      </c>
      <c r="G136" s="164" t="s">
        <v>26</v>
      </c>
      <c r="H136" s="153" t="n">
        <v>4</v>
      </c>
      <c r="I136" s="165" t="n">
        <v>1</v>
      </c>
      <c r="J136" s="165" t="n">
        <v>1</v>
      </c>
      <c r="K136" s="166" t="n">
        <v>3700.2</v>
      </c>
      <c r="L136" s="166" t="n">
        <f aca="false">M136+N136</f>
        <v>0</v>
      </c>
      <c r="M136" s="166"/>
      <c r="N136" s="167"/>
      <c r="O136" s="168" t="n">
        <v>2</v>
      </c>
      <c r="P136" s="166" t="n">
        <v>5286</v>
      </c>
      <c r="Q136" s="166" t="n">
        <f aca="false">R136+S136</f>
        <v>0</v>
      </c>
      <c r="R136" s="166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" hidden="false" customHeight="true" outlineLevel="0" collapsed="false">
      <c r="A137" s="17"/>
      <c r="B137" s="18" t="s">
        <v>103</v>
      </c>
      <c r="C137" s="19" t="s">
        <v>20</v>
      </c>
      <c r="D137" s="19"/>
      <c r="E137" s="19" t="s">
        <v>52</v>
      </c>
      <c r="F137" s="20"/>
      <c r="G137" s="146" t="s">
        <v>22</v>
      </c>
      <c r="H137" s="169" t="n">
        <v>1</v>
      </c>
      <c r="I137" s="148"/>
      <c r="J137" s="148"/>
      <c r="K137" s="149"/>
      <c r="L137" s="149" t="n">
        <f aca="false">M137+N137</f>
        <v>0</v>
      </c>
      <c r="M137" s="149"/>
      <c r="N137" s="150"/>
      <c r="O137" s="151" t="n">
        <v>4</v>
      </c>
      <c r="P137" s="149" t="n">
        <v>19139.98</v>
      </c>
      <c r="Q137" s="149" t="n">
        <f aca="false">R137+S137</f>
        <v>10162.24</v>
      </c>
      <c r="R137" s="149"/>
      <c r="S137" s="150" t="n">
        <v>10162.24</v>
      </c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193</v>
      </c>
      <c r="G138" s="152" t="s">
        <v>26</v>
      </c>
      <c r="H138" s="171" t="n">
        <v>10</v>
      </c>
      <c r="I138" s="154"/>
      <c r="J138" s="154"/>
      <c r="K138" s="155"/>
      <c r="L138" s="155" t="n">
        <f aca="false">M138+N138</f>
        <v>0</v>
      </c>
      <c r="M138" s="155"/>
      <c r="N138" s="156"/>
      <c r="O138" s="157" t="n">
        <v>4</v>
      </c>
      <c r="P138" s="155" t="n">
        <v>10925</v>
      </c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" hidden="false" customHeight="true" outlineLevel="0" collapsed="false">
      <c r="A139" s="54"/>
      <c r="B139" s="55" t="s">
        <v>104</v>
      </c>
      <c r="C139" s="56" t="s">
        <v>20</v>
      </c>
      <c r="D139" s="56"/>
      <c r="E139" s="56" t="s">
        <v>25</v>
      </c>
      <c r="F139" s="22"/>
      <c r="G139" s="146" t="s">
        <v>22</v>
      </c>
      <c r="H139" s="169"/>
      <c r="I139" s="160"/>
      <c r="J139" s="160"/>
      <c r="K139" s="161"/>
      <c r="L139" s="161" t="n">
        <f aca="false">M139+N139</f>
        <v>0</v>
      </c>
      <c r="M139" s="161"/>
      <c r="N139" s="162"/>
      <c r="O139" s="163"/>
      <c r="P139" s="161"/>
      <c r="Q139" s="161" t="n">
        <f aca="false">R139+S139</f>
        <v>0</v>
      </c>
      <c r="R139" s="161"/>
      <c r="S139" s="16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/>
      <c r="C140" s="55"/>
      <c r="D140" s="55"/>
      <c r="E140" s="55"/>
      <c r="F140" s="57"/>
      <c r="G140" s="152" t="s">
        <v>26</v>
      </c>
      <c r="H140" s="153"/>
      <c r="I140" s="154"/>
      <c r="J140" s="154"/>
      <c r="K140" s="155"/>
      <c r="L140" s="155" t="n">
        <f aca="false">M140+N140</f>
        <v>0</v>
      </c>
      <c r="M140" s="155"/>
      <c r="N140" s="156"/>
      <c r="O140" s="157"/>
      <c r="P140" s="155"/>
      <c r="Q140" s="155" t="n">
        <f aca="false">R140+S140</f>
        <v>0</v>
      </c>
      <c r="R140" s="155"/>
      <c r="S140" s="156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33"/>
      <c r="B141" s="34" t="s">
        <v>105</v>
      </c>
      <c r="C141" s="35" t="s">
        <v>33</v>
      </c>
      <c r="D141" s="35" t="s">
        <v>106</v>
      </c>
      <c r="E141" s="35" t="s">
        <v>107</v>
      </c>
      <c r="F141" s="36"/>
      <c r="G141" s="146" t="s">
        <v>22</v>
      </c>
      <c r="H141" s="169"/>
      <c r="I141" s="160"/>
      <c r="J141" s="160"/>
      <c r="K141" s="161"/>
      <c r="L141" s="161" t="n">
        <f aca="false">M141+N141</f>
        <v>0</v>
      </c>
      <c r="M141" s="161"/>
      <c r="N141" s="162"/>
      <c r="O141" s="163" t="n">
        <v>6</v>
      </c>
      <c r="P141" s="161" t="n">
        <v>14967.24</v>
      </c>
      <c r="Q141" s="161" t="n">
        <f aca="false">R141+S141</f>
        <v>14967.24</v>
      </c>
      <c r="R141" s="161" t="n">
        <v>7780.05</v>
      </c>
      <c r="S141" s="162" t="n">
        <v>7187.19</v>
      </c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33"/>
      <c r="B142" s="34"/>
      <c r="C142" s="34"/>
      <c r="D142" s="34"/>
      <c r="E142" s="34"/>
      <c r="F142" s="42" t="s">
        <v>194</v>
      </c>
      <c r="G142" s="164" t="s">
        <v>26</v>
      </c>
      <c r="H142" s="153" t="n">
        <v>1</v>
      </c>
      <c r="I142" s="165"/>
      <c r="J142" s="165"/>
      <c r="K142" s="166"/>
      <c r="L142" s="161" t="n">
        <f aca="false">M142+N142</f>
        <v>0</v>
      </c>
      <c r="M142" s="166" t="n">
        <v>0</v>
      </c>
      <c r="N142" s="167"/>
      <c r="O142" s="168" t="n">
        <v>6</v>
      </c>
      <c r="P142" s="166" t="n">
        <v>23645.16</v>
      </c>
      <c r="Q142" s="166" t="n">
        <f aca="false">R142+S142</f>
        <v>881</v>
      </c>
      <c r="R142" s="166" t="n">
        <f aca="false">881</f>
        <v>881</v>
      </c>
      <c r="S142" s="167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72"/>
      <c r="B143" s="73" t="s">
        <v>108</v>
      </c>
      <c r="C143" s="74" t="s">
        <v>33</v>
      </c>
      <c r="D143" s="74" t="s">
        <v>109</v>
      </c>
      <c r="E143" s="74" t="s">
        <v>25</v>
      </c>
      <c r="F143" s="20"/>
      <c r="G143" s="146" t="s">
        <v>22</v>
      </c>
      <c r="H143" s="159" t="n">
        <v>6</v>
      </c>
      <c r="I143" s="148" t="n">
        <v>5</v>
      </c>
      <c r="J143" s="148" t="n">
        <v>6</v>
      </c>
      <c r="K143" s="149" t="n">
        <v>11519.11</v>
      </c>
      <c r="L143" s="149" t="n">
        <f aca="false">M143+N143</f>
        <v>1895.47</v>
      </c>
      <c r="M143" s="149"/>
      <c r="N143" s="224" t="n">
        <v>1895.47</v>
      </c>
      <c r="O143" s="151" t="n">
        <v>15</v>
      </c>
      <c r="P143" s="149" t="n">
        <v>34418.78</v>
      </c>
      <c r="Q143" s="149" t="n">
        <f aca="false">R143+S143</f>
        <v>22194.99</v>
      </c>
      <c r="R143" s="149" t="n">
        <v>3347.8</v>
      </c>
      <c r="S143" s="150" t="n">
        <v>18847.19</v>
      </c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 t="s">
        <v>195</v>
      </c>
      <c r="G144" s="164" t="s">
        <v>26</v>
      </c>
      <c r="H144" s="171" t="n">
        <v>7</v>
      </c>
      <c r="I144" s="165" t="n">
        <v>2</v>
      </c>
      <c r="J144" s="165" t="n">
        <v>2</v>
      </c>
      <c r="K144" s="166" t="n">
        <v>13990.28</v>
      </c>
      <c r="L144" s="166" t="n">
        <f aca="false">M144+N144</f>
        <v>0</v>
      </c>
      <c r="M144" s="166"/>
      <c r="N144" s="227"/>
      <c r="O144" s="157" t="n">
        <v>8</v>
      </c>
      <c r="P144" s="155" t="n">
        <v>30218.3</v>
      </c>
      <c r="Q144" s="155" t="n">
        <f aca="false">R144+S144</f>
        <v>15329.4</v>
      </c>
      <c r="R144" s="155" t="n">
        <f aca="false">2643</f>
        <v>2643</v>
      </c>
      <c r="S144" s="156" t="n">
        <f aca="false">12686.4</f>
        <v>12686.4</v>
      </c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110</v>
      </c>
      <c r="C145" s="19" t="s">
        <v>33</v>
      </c>
      <c r="D145" s="19" t="s">
        <v>111</v>
      </c>
      <c r="E145" s="19" t="s">
        <v>25</v>
      </c>
      <c r="F145" s="20"/>
      <c r="G145" s="146" t="s">
        <v>22</v>
      </c>
      <c r="H145" s="159" t="n">
        <v>16</v>
      </c>
      <c r="I145" s="148" t="n">
        <v>15</v>
      </c>
      <c r="J145" s="193" t="n">
        <v>16</v>
      </c>
      <c r="K145" s="149" t="n">
        <v>15755.63</v>
      </c>
      <c r="L145" s="149" t="n">
        <f aca="false">M145+N145</f>
        <v>9291.07</v>
      </c>
      <c r="M145" s="149" t="n">
        <v>1494.18</v>
      </c>
      <c r="N145" s="150" t="n">
        <v>7796.89</v>
      </c>
      <c r="O145" s="163" t="n">
        <v>12</v>
      </c>
      <c r="P145" s="161" t="n">
        <v>42553.58</v>
      </c>
      <c r="Q145" s="161" t="n">
        <f aca="false">R145+S145</f>
        <v>19724.71</v>
      </c>
      <c r="R145" s="161" t="n">
        <v>8854.81</v>
      </c>
      <c r="S145" s="162" t="n">
        <v>10869.9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196</v>
      </c>
      <c r="G146" s="152" t="s">
        <v>26</v>
      </c>
      <c r="H146" s="153" t="n">
        <v>0</v>
      </c>
      <c r="I146" s="154" t="n">
        <v>0</v>
      </c>
      <c r="J146" s="154" t="n">
        <v>0</v>
      </c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112</v>
      </c>
      <c r="C147" s="35" t="s">
        <v>20</v>
      </c>
      <c r="D147" s="35" t="s">
        <v>197</v>
      </c>
      <c r="E147" s="35" t="s">
        <v>25</v>
      </c>
      <c r="F147" s="36"/>
      <c r="G147" s="146" t="s">
        <v>22</v>
      </c>
      <c r="H147" s="159" t="n">
        <v>6</v>
      </c>
      <c r="I147" s="160" t="n">
        <v>6</v>
      </c>
      <c r="J147" s="160" t="n">
        <v>7</v>
      </c>
      <c r="K147" s="140" t="n">
        <v>23292.74</v>
      </c>
      <c r="L147" s="140" t="n">
        <f aca="false">M147+N147</f>
        <v>9984.81</v>
      </c>
      <c r="M147" s="140" t="n">
        <v>1162.92</v>
      </c>
      <c r="N147" s="162" t="n">
        <v>8821.89</v>
      </c>
      <c r="O147" s="163" t="n">
        <v>3</v>
      </c>
      <c r="P147" s="161" t="n">
        <v>6677.22</v>
      </c>
      <c r="Q147" s="161" t="n">
        <f aca="false">R147+S147</f>
        <v>1198.16</v>
      </c>
      <c r="R147" s="161"/>
      <c r="S147" s="162" t="n">
        <v>1198.16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26" t="s">
        <v>198</v>
      </c>
      <c r="G148" s="152" t="s">
        <v>26</v>
      </c>
      <c r="H148" s="171" t="n">
        <v>2</v>
      </c>
      <c r="I148" s="165"/>
      <c r="J148" s="165"/>
      <c r="K148" s="166"/>
      <c r="L148" s="166" t="n">
        <f aca="false">M148+N148</f>
        <v>0</v>
      </c>
      <c r="M148" s="166"/>
      <c r="N148" s="167"/>
      <c r="O148" s="168" t="n">
        <v>1</v>
      </c>
      <c r="P148" s="166" t="n">
        <v>2114.4</v>
      </c>
      <c r="Q148" s="166" t="n">
        <f aca="false">R148+S148</f>
        <v>0</v>
      </c>
      <c r="R148" s="166"/>
      <c r="S148" s="167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113</v>
      </c>
      <c r="C149" s="19" t="s">
        <v>20</v>
      </c>
      <c r="D149" s="19"/>
      <c r="E149" s="19" t="s">
        <v>31</v>
      </c>
      <c r="F149" s="36"/>
      <c r="G149" s="146" t="s">
        <v>22</v>
      </c>
      <c r="H149" s="159" t="n">
        <v>8</v>
      </c>
      <c r="I149" s="148" t="n">
        <v>3</v>
      </c>
      <c r="J149" s="148" t="n">
        <v>4</v>
      </c>
      <c r="K149" s="149" t="n">
        <v>7903.02</v>
      </c>
      <c r="L149" s="149" t="n">
        <f aca="false">M149+N149</f>
        <v>4858.85</v>
      </c>
      <c r="M149" s="149" t="n">
        <v>4858.85</v>
      </c>
      <c r="N149" s="150"/>
      <c r="O149" s="151" t="n">
        <v>5</v>
      </c>
      <c r="P149" s="149" t="n">
        <v>6770.34</v>
      </c>
      <c r="Q149" s="149" t="n">
        <f aca="false">R149+S149</f>
        <v>3839.24</v>
      </c>
      <c r="R149" s="149" t="n">
        <v>1583.16</v>
      </c>
      <c r="S149" s="150" t="n">
        <v>2256.08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57"/>
      <c r="G150" s="152" t="s">
        <v>26</v>
      </c>
      <c r="H150" s="153"/>
      <c r="I150" s="154"/>
      <c r="J150" s="154"/>
      <c r="K150" s="155"/>
      <c r="L150" s="155" t="n">
        <f aca="false">M150+N150</f>
        <v>0</v>
      </c>
      <c r="M150" s="155"/>
      <c r="N150" s="15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33"/>
      <c r="B151" s="34" t="s">
        <v>114</v>
      </c>
      <c r="C151" s="35" t="s">
        <v>20</v>
      </c>
      <c r="D151" s="95"/>
      <c r="E151" s="35" t="s">
        <v>25</v>
      </c>
      <c r="F151" s="71"/>
      <c r="G151" s="146" t="s">
        <v>22</v>
      </c>
      <c r="H151" s="169"/>
      <c r="I151" s="160"/>
      <c r="J151" s="160"/>
      <c r="K151" s="161"/>
      <c r="L151" s="161" t="n">
        <f aca="false">M151+N151</f>
        <v>0</v>
      </c>
      <c r="M151" s="161"/>
      <c r="N151" s="162"/>
      <c r="O151" s="163"/>
      <c r="P151" s="161"/>
      <c r="Q151" s="161" t="n">
        <f aca="false">R151+S151</f>
        <v>0</v>
      </c>
      <c r="R151" s="161"/>
      <c r="S151" s="16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33"/>
      <c r="B152" s="34"/>
      <c r="C152" s="34"/>
      <c r="D152" s="34"/>
      <c r="E152" s="34"/>
      <c r="F152" s="42" t="s">
        <v>199</v>
      </c>
      <c r="G152" s="164" t="s">
        <v>26</v>
      </c>
      <c r="H152" s="175" t="n">
        <v>2</v>
      </c>
      <c r="I152" s="165"/>
      <c r="J152" s="165"/>
      <c r="K152" s="166"/>
      <c r="L152" s="166" t="n">
        <f aca="false">M152+N152</f>
        <v>0</v>
      </c>
      <c r="M152" s="166"/>
      <c r="N152" s="167"/>
      <c r="O152" s="168"/>
      <c r="P152" s="166"/>
      <c r="Q152" s="166" t="n">
        <f aca="false">R152+S152</f>
        <v>0</v>
      </c>
      <c r="R152" s="166"/>
      <c r="S152" s="167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17"/>
      <c r="B153" s="18" t="s">
        <v>243</v>
      </c>
      <c r="C153" s="219"/>
      <c r="D153" s="19"/>
      <c r="E153" s="19"/>
      <c r="F153" s="20"/>
      <c r="G153" s="146" t="s">
        <v>22</v>
      </c>
      <c r="H153" s="173" t="s">
        <v>151</v>
      </c>
      <c r="I153" s="148"/>
      <c r="J153" s="148"/>
      <c r="K153" s="149"/>
      <c r="L153" s="149" t="n">
        <f aca="false">M153+N153</f>
        <v>0</v>
      </c>
      <c r="M153" s="149"/>
      <c r="N153" s="150"/>
      <c r="O153" s="206"/>
      <c r="P153" s="149"/>
      <c r="Q153" s="149" t="n">
        <f aca="false">R153+S153</f>
        <v>0</v>
      </c>
      <c r="R153" s="149"/>
      <c r="S153" s="15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57"/>
      <c r="G154" s="152" t="s">
        <v>26</v>
      </c>
      <c r="H154" s="174" t="n">
        <v>3</v>
      </c>
      <c r="I154" s="154" t="n">
        <v>1</v>
      </c>
      <c r="J154" s="154" t="n">
        <v>1</v>
      </c>
      <c r="K154" s="155" t="n">
        <v>528.6</v>
      </c>
      <c r="L154" s="155" t="n">
        <f aca="false">M154+N154</f>
        <v>0</v>
      </c>
      <c r="M154" s="155"/>
      <c r="N154" s="156"/>
      <c r="O154" s="209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54"/>
      <c r="B155" s="55" t="s">
        <v>200</v>
      </c>
      <c r="C155" s="220"/>
      <c r="D155" s="56"/>
      <c r="E155" s="56"/>
      <c r="F155" s="36"/>
      <c r="G155" s="158" t="s">
        <v>22</v>
      </c>
      <c r="H155" s="159" t="n">
        <v>17</v>
      </c>
      <c r="I155" s="160" t="n">
        <v>12</v>
      </c>
      <c r="J155" s="160" t="n">
        <v>12</v>
      </c>
      <c r="K155" s="161" t="n">
        <v>7016.46</v>
      </c>
      <c r="L155" s="161" t="n">
        <f aca="false">M155+N155</f>
        <v>0</v>
      </c>
      <c r="M155" s="161"/>
      <c r="N155" s="162"/>
      <c r="O155" s="163"/>
      <c r="P155" s="161"/>
      <c r="Q155" s="161" t="n">
        <f aca="false">R155+S155</f>
        <v>0</v>
      </c>
      <c r="R155" s="161"/>
      <c r="S155" s="16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54"/>
      <c r="B156" s="55"/>
      <c r="C156" s="55"/>
      <c r="D156" s="55"/>
      <c r="E156" s="55"/>
      <c r="F156" s="57"/>
      <c r="G156" s="152" t="s">
        <v>26</v>
      </c>
      <c r="H156" s="174" t="n">
        <v>4</v>
      </c>
      <c r="I156" s="154" t="n">
        <v>2</v>
      </c>
      <c r="J156" s="154" t="n">
        <v>2</v>
      </c>
      <c r="K156" s="155" t="n">
        <v>2466.8</v>
      </c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54"/>
      <c r="B157" s="55" t="s">
        <v>115</v>
      </c>
      <c r="C157" s="56" t="s">
        <v>20</v>
      </c>
      <c r="D157" s="56"/>
      <c r="E157" s="56" t="s">
        <v>116</v>
      </c>
      <c r="F157" s="36"/>
      <c r="G157" s="158" t="s">
        <v>22</v>
      </c>
      <c r="H157" s="159" t="n">
        <v>9</v>
      </c>
      <c r="I157" s="160" t="n">
        <v>5</v>
      </c>
      <c r="J157" s="160" t="n">
        <v>5</v>
      </c>
      <c r="K157" s="161" t="n">
        <v>2886.16</v>
      </c>
      <c r="L157" s="161" t="n">
        <f aca="false">M157+N157</f>
        <v>2886.16</v>
      </c>
      <c r="M157" s="161" t="n">
        <v>264.3</v>
      </c>
      <c r="N157" s="162" t="n">
        <v>2621.86</v>
      </c>
      <c r="O157" s="163" t="n">
        <v>11</v>
      </c>
      <c r="P157" s="161" t="n">
        <v>7909.61</v>
      </c>
      <c r="Q157" s="161" t="n">
        <f aca="false">R157+S157</f>
        <v>6775.76</v>
      </c>
      <c r="R157" s="161" t="n">
        <v>4414.68</v>
      </c>
      <c r="S157" s="162" t="n">
        <v>2361.08</v>
      </c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54"/>
      <c r="B158" s="55"/>
      <c r="C158" s="55"/>
      <c r="D158" s="55"/>
      <c r="E158" s="55"/>
      <c r="F158" s="42" t="s">
        <v>201</v>
      </c>
      <c r="G158" s="164" t="s">
        <v>26</v>
      </c>
      <c r="H158" s="172" t="n">
        <v>8</v>
      </c>
      <c r="I158" s="165" t="n">
        <v>1</v>
      </c>
      <c r="J158" s="165" t="n">
        <v>1</v>
      </c>
      <c r="K158" s="166" t="n">
        <v>5286</v>
      </c>
      <c r="L158" s="161" t="n">
        <f aca="false">M158+N158</f>
        <v>0</v>
      </c>
      <c r="M158" s="166" t="n">
        <v>0</v>
      </c>
      <c r="N158" s="167"/>
      <c r="O158" s="168" t="n">
        <v>8</v>
      </c>
      <c r="P158" s="166" t="n">
        <v>881</v>
      </c>
      <c r="Q158" s="166" t="n">
        <f aca="false">R158+S158</f>
        <v>881</v>
      </c>
      <c r="R158" s="166" t="n">
        <f aca="false">881</f>
        <v>881</v>
      </c>
      <c r="S158" s="167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17"/>
      <c r="B159" s="18" t="s">
        <v>157</v>
      </c>
      <c r="C159" s="19"/>
      <c r="D159" s="19"/>
      <c r="E159" s="127"/>
      <c r="F159" s="22"/>
      <c r="G159" s="146" t="s">
        <v>22</v>
      </c>
      <c r="H159" s="147" t="n">
        <v>3</v>
      </c>
      <c r="I159" s="148" t="n">
        <v>1</v>
      </c>
      <c r="J159" s="148" t="n">
        <v>1</v>
      </c>
      <c r="K159" s="149" t="n">
        <v>3876.4</v>
      </c>
      <c r="L159" s="149" t="n">
        <f aca="false">M159+N159</f>
        <v>0</v>
      </c>
      <c r="M159" s="149"/>
      <c r="N159" s="150"/>
      <c r="O159" s="151"/>
      <c r="P159" s="149"/>
      <c r="Q159" s="149" t="n">
        <f aca="false">R159+S159</f>
        <v>0</v>
      </c>
      <c r="R159" s="149"/>
      <c r="S159" s="15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" hidden="false" customHeight="false" outlineLevel="0" collapsed="false">
      <c r="A160" s="17"/>
      <c r="B160" s="18"/>
      <c r="C160" s="18"/>
      <c r="D160" s="18"/>
      <c r="E160" s="127"/>
      <c r="F160" s="26" t="s">
        <v>202</v>
      </c>
      <c r="G160" s="152" t="s">
        <v>26</v>
      </c>
      <c r="H160" s="176" t="n">
        <v>1</v>
      </c>
      <c r="I160" s="154"/>
      <c r="J160" s="154"/>
      <c r="K160" s="155"/>
      <c r="L160" s="155" t="n">
        <f aca="false">M160+N160</f>
        <v>0</v>
      </c>
      <c r="M160" s="155"/>
      <c r="N160" s="156"/>
      <c r="O160" s="157"/>
      <c r="P160" s="155"/>
      <c r="Q160" s="155" t="n">
        <f aca="false">R160+S160</f>
        <v>1762</v>
      </c>
      <c r="R160" s="155"/>
      <c r="S160" s="156" t="n">
        <f aca="false">1233.4+528.6</f>
        <v>1762</v>
      </c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33"/>
      <c r="B161" s="34" t="s">
        <v>117</v>
      </c>
      <c r="C161" s="35" t="s">
        <v>33</v>
      </c>
      <c r="D161" s="35" t="s">
        <v>118</v>
      </c>
      <c r="E161" s="74" t="s">
        <v>25</v>
      </c>
      <c r="F161" s="89"/>
      <c r="G161" s="158" t="s">
        <v>22</v>
      </c>
      <c r="H161" s="169"/>
      <c r="I161" s="160"/>
      <c r="J161" s="160"/>
      <c r="K161" s="161"/>
      <c r="L161" s="161" t="n">
        <f aca="false">M161+N161</f>
        <v>0</v>
      </c>
      <c r="M161" s="161"/>
      <c r="N161" s="162"/>
      <c r="O161" s="163"/>
      <c r="P161" s="161"/>
      <c r="Q161" s="161" t="n">
        <f aca="false">R161+S161</f>
        <v>0</v>
      </c>
      <c r="R161" s="161"/>
      <c r="S161" s="16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" hidden="false" customHeight="false" outlineLevel="0" collapsed="false">
      <c r="A162" s="33"/>
      <c r="B162" s="34"/>
      <c r="C162" s="34"/>
      <c r="D162" s="34"/>
      <c r="E162" s="34"/>
      <c r="F162" s="42"/>
      <c r="G162" s="158" t="s">
        <v>23</v>
      </c>
      <c r="H162" s="169"/>
      <c r="I162" s="160"/>
      <c r="J162" s="160"/>
      <c r="K162" s="161"/>
      <c r="L162" s="161" t="n">
        <f aca="false">M162+N162</f>
        <v>0</v>
      </c>
      <c r="M162" s="161"/>
      <c r="N162" s="162"/>
      <c r="O162" s="163"/>
      <c r="P162" s="161"/>
      <c r="Q162" s="161" t="n">
        <f aca="false">R162+S162</f>
        <v>0</v>
      </c>
      <c r="R162" s="161"/>
      <c r="S162" s="16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false" outlineLevel="0" collapsed="false">
      <c r="A163" s="33"/>
      <c r="B163" s="34"/>
      <c r="C163" s="34"/>
      <c r="D163" s="34"/>
      <c r="E163" s="34"/>
      <c r="F163" s="42"/>
      <c r="G163" s="164" t="s">
        <v>26</v>
      </c>
      <c r="H163" s="153"/>
      <c r="I163" s="165"/>
      <c r="J163" s="165"/>
      <c r="K163" s="166"/>
      <c r="L163" s="166" t="n">
        <f aca="false">M163+N163</f>
        <v>0</v>
      </c>
      <c r="M163" s="166"/>
      <c r="N163" s="167"/>
      <c r="O163" s="168" t="n">
        <v>5</v>
      </c>
      <c r="P163" s="166" t="n">
        <v>4845.5</v>
      </c>
      <c r="Q163" s="166" t="n">
        <f aca="false">R163+S163</f>
        <v>0</v>
      </c>
      <c r="R163" s="166"/>
      <c r="S163" s="167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" hidden="false" customHeight="true" outlineLevel="0" collapsed="false">
      <c r="A164" s="17"/>
      <c r="B164" s="18" t="s">
        <v>119</v>
      </c>
      <c r="C164" s="19" t="s">
        <v>20</v>
      </c>
      <c r="D164" s="19"/>
      <c r="E164" s="19" t="s">
        <v>25</v>
      </c>
      <c r="F164" s="20"/>
      <c r="G164" s="146" t="s">
        <v>22</v>
      </c>
      <c r="H164" s="169"/>
      <c r="I164" s="148"/>
      <c r="J164" s="148"/>
      <c r="K164" s="149"/>
      <c r="L164" s="149" t="n">
        <f aca="false">M164+N164</f>
        <v>0</v>
      </c>
      <c r="M164" s="149"/>
      <c r="N164" s="150"/>
      <c r="O164" s="151" t="n">
        <v>2</v>
      </c>
      <c r="P164" s="149" t="n">
        <v>2643</v>
      </c>
      <c r="Q164" s="149" t="n">
        <f aca="false">R164+S164</f>
        <v>2643</v>
      </c>
      <c r="R164" s="149"/>
      <c r="S164" s="150" t="n">
        <v>2643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17"/>
      <c r="B165" s="18"/>
      <c r="C165" s="18"/>
      <c r="D165" s="18"/>
      <c r="E165" s="18"/>
      <c r="F165" s="42" t="s">
        <v>203</v>
      </c>
      <c r="G165" s="164" t="s">
        <v>26</v>
      </c>
      <c r="H165" s="175" t="n">
        <v>3</v>
      </c>
      <c r="I165" s="165" t="n">
        <v>1</v>
      </c>
      <c r="J165" s="165" t="n">
        <v>1</v>
      </c>
      <c r="K165" s="166" t="n">
        <v>704.8</v>
      </c>
      <c r="L165" s="166" t="n">
        <f aca="false">M165+N165</f>
        <v>0</v>
      </c>
      <c r="M165" s="166" t="n">
        <v>0</v>
      </c>
      <c r="N165" s="167"/>
      <c r="O165" s="168" t="n">
        <v>1</v>
      </c>
      <c r="P165" s="166" t="n">
        <v>3524</v>
      </c>
      <c r="Q165" s="166" t="n">
        <f aca="false">R165+S165</f>
        <v>881</v>
      </c>
      <c r="R165" s="166" t="n">
        <f aca="false">881</f>
        <v>881</v>
      </c>
      <c r="S165" s="167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true" outlineLevel="0" collapsed="false">
      <c r="A166" s="17"/>
      <c r="B166" s="18" t="s">
        <v>225</v>
      </c>
      <c r="C166" s="19" t="s">
        <v>33</v>
      </c>
      <c r="D166" s="19" t="s">
        <v>258</v>
      </c>
      <c r="E166" s="19" t="s">
        <v>259</v>
      </c>
      <c r="F166" s="20"/>
      <c r="G166" s="146" t="s">
        <v>22</v>
      </c>
      <c r="H166" s="147"/>
      <c r="I166" s="148"/>
      <c r="J166" s="148"/>
      <c r="K166" s="149"/>
      <c r="L166" s="149" t="n">
        <f aca="false">M166+N166</f>
        <v>0</v>
      </c>
      <c r="M166" s="149"/>
      <c r="N166" s="150"/>
      <c r="O166" s="151"/>
      <c r="P166" s="149"/>
      <c r="Q166" s="149" t="n">
        <f aca="false">R166+S166</f>
        <v>0</v>
      </c>
      <c r="R166" s="149"/>
      <c r="S166" s="150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false" outlineLevel="0" collapsed="false">
      <c r="A167" s="17"/>
      <c r="B167" s="18"/>
      <c r="C167" s="18"/>
      <c r="D167" s="18"/>
      <c r="E167" s="18"/>
      <c r="F167" s="26" t="s">
        <v>244</v>
      </c>
      <c r="G167" s="152" t="s">
        <v>23</v>
      </c>
      <c r="H167" s="176" t="n">
        <v>10</v>
      </c>
      <c r="I167" s="154"/>
      <c r="J167" s="154"/>
      <c r="K167" s="155"/>
      <c r="L167" s="155" t="n">
        <f aca="false">M167+N167</f>
        <v>0</v>
      </c>
      <c r="M167" s="155"/>
      <c r="N167" s="156"/>
      <c r="O167" s="157"/>
      <c r="P167" s="155"/>
      <c r="Q167" s="155" t="n">
        <f aca="false">R167+S167</f>
        <v>0</v>
      </c>
      <c r="R167" s="155"/>
      <c r="S167" s="156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true" outlineLevel="0" collapsed="false">
      <c r="A168" s="54"/>
      <c r="B168" s="55" t="s">
        <v>120</v>
      </c>
      <c r="C168" s="56" t="s">
        <v>20</v>
      </c>
      <c r="D168" s="56"/>
      <c r="E168" s="56" t="s">
        <v>25</v>
      </c>
      <c r="F168" s="36"/>
      <c r="G168" s="158" t="s">
        <v>22</v>
      </c>
      <c r="H168" s="169"/>
      <c r="I168" s="160"/>
      <c r="J168" s="160"/>
      <c r="K168" s="161"/>
      <c r="L168" s="161" t="n">
        <f aca="false">M168+N168</f>
        <v>0</v>
      </c>
      <c r="M168" s="161"/>
      <c r="N168" s="162"/>
      <c r="O168" s="163" t="n">
        <v>3</v>
      </c>
      <c r="P168" s="161" t="n">
        <v>3063.78</v>
      </c>
      <c r="Q168" s="161" t="n">
        <f aca="false">R168+S168</f>
        <v>3063.78</v>
      </c>
      <c r="R168" s="161" t="n">
        <v>3063.78</v>
      </c>
      <c r="S168" s="16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54"/>
      <c r="B169" s="55"/>
      <c r="C169" s="55"/>
      <c r="D169" s="55"/>
      <c r="E169" s="55"/>
      <c r="F169" s="71"/>
      <c r="G169" s="164" t="s">
        <v>26</v>
      </c>
      <c r="H169" s="175"/>
      <c r="I169" s="165"/>
      <c r="J169" s="165"/>
      <c r="K169" s="166"/>
      <c r="L169" s="166" t="n">
        <f aca="false">M169+N169</f>
        <v>0</v>
      </c>
      <c r="M169" s="166"/>
      <c r="N169" s="167"/>
      <c r="O169" s="168"/>
      <c r="P169" s="166"/>
      <c r="Q169" s="166" t="n">
        <f aca="false">R169+S169</f>
        <v>0</v>
      </c>
      <c r="R169" s="166"/>
      <c r="S169" s="167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72"/>
      <c r="B170" s="18" t="s">
        <v>158</v>
      </c>
      <c r="C170" s="74"/>
      <c r="D170" s="56" t="s">
        <v>204</v>
      </c>
      <c r="E170" s="74"/>
      <c r="F170" s="53"/>
      <c r="G170" s="146" t="s">
        <v>22</v>
      </c>
      <c r="H170" s="195"/>
      <c r="I170" s="196"/>
      <c r="J170" s="196"/>
      <c r="K170" s="197"/>
      <c r="L170" s="197" t="n">
        <f aca="false">M170+N170</f>
        <v>0</v>
      </c>
      <c r="M170" s="197"/>
      <c r="N170" s="198"/>
      <c r="O170" s="199"/>
      <c r="P170" s="197"/>
      <c r="Q170" s="197" t="n">
        <f aca="false">R170+S170</f>
        <v>0</v>
      </c>
      <c r="R170" s="197"/>
      <c r="S170" s="198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false" outlineLevel="0" collapsed="false">
      <c r="A171" s="54"/>
      <c r="B171" s="18"/>
      <c r="C171" s="56"/>
      <c r="D171" s="56"/>
      <c r="E171" s="56"/>
      <c r="F171" s="138" t="s">
        <v>205</v>
      </c>
      <c r="G171" s="152" t="s">
        <v>26</v>
      </c>
      <c r="H171" s="153" t="n">
        <v>3</v>
      </c>
      <c r="I171" s="200"/>
      <c r="J171" s="200"/>
      <c r="K171" s="201"/>
      <c r="L171" s="201" t="n">
        <f aca="false">M171+N171</f>
        <v>0</v>
      </c>
      <c r="M171" s="201"/>
      <c r="N171" s="202"/>
      <c r="O171" s="203"/>
      <c r="P171" s="201"/>
      <c r="Q171" s="201" t="n">
        <f aca="false">R171+S171</f>
        <v>0</v>
      </c>
      <c r="R171" s="201"/>
      <c r="S171" s="20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33"/>
      <c r="B172" s="34" t="s">
        <v>152</v>
      </c>
      <c r="C172" s="35" t="s">
        <v>20</v>
      </c>
      <c r="D172" s="35"/>
      <c r="E172" s="35" t="s">
        <v>25</v>
      </c>
      <c r="F172" s="36"/>
      <c r="G172" s="158" t="s">
        <v>22</v>
      </c>
      <c r="H172" s="169"/>
      <c r="I172" s="160"/>
      <c r="J172" s="160"/>
      <c r="K172" s="161"/>
      <c r="L172" s="161" t="n">
        <f aca="false">M172+N172</f>
        <v>0</v>
      </c>
      <c r="M172" s="161"/>
      <c r="N172" s="162"/>
      <c r="O172" s="163" t="n">
        <v>1</v>
      </c>
      <c r="P172" s="161" t="n">
        <v>2819.2</v>
      </c>
      <c r="Q172" s="161" t="n">
        <f aca="false">R172+S172</f>
        <v>2819.2</v>
      </c>
      <c r="R172" s="161"/>
      <c r="S172" s="162" t="n">
        <v>2819.2</v>
      </c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33"/>
      <c r="B173" s="34"/>
      <c r="C173" s="34"/>
      <c r="D173" s="34"/>
      <c r="E173" s="34"/>
      <c r="F173" s="42" t="s">
        <v>206</v>
      </c>
      <c r="G173" s="164" t="s">
        <v>26</v>
      </c>
      <c r="H173" s="171" t="n">
        <v>4</v>
      </c>
      <c r="I173" s="165"/>
      <c r="J173" s="165"/>
      <c r="K173" s="166"/>
      <c r="L173" s="166" t="n">
        <v>0</v>
      </c>
      <c r="M173" s="166" t="n">
        <v>0</v>
      </c>
      <c r="N173" s="167"/>
      <c r="O173" s="168" t="n">
        <v>3</v>
      </c>
      <c r="P173" s="166" t="n">
        <v>5814.6</v>
      </c>
      <c r="Q173" s="161" t="n">
        <f aca="false">R173+S173</f>
        <v>2731.1</v>
      </c>
      <c r="R173" s="166" t="n">
        <f aca="false">1145.3</f>
        <v>1145.3</v>
      </c>
      <c r="S173" s="167" t="n">
        <v>1585.8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122</v>
      </c>
      <c r="C174" s="19" t="s">
        <v>20</v>
      </c>
      <c r="D174" s="19"/>
      <c r="E174" s="19" t="s">
        <v>116</v>
      </c>
      <c r="F174" s="20"/>
      <c r="G174" s="146" t="s">
        <v>22</v>
      </c>
      <c r="H174" s="159" t="n">
        <v>19</v>
      </c>
      <c r="I174" s="148" t="n">
        <v>17</v>
      </c>
      <c r="J174" s="148" t="n">
        <v>19</v>
      </c>
      <c r="K174" s="149" t="n">
        <v>28868.62</v>
      </c>
      <c r="L174" s="149" t="n">
        <f aca="false">M174+N174</f>
        <v>11563.14</v>
      </c>
      <c r="M174" s="149" t="n">
        <v>3607.7</v>
      </c>
      <c r="N174" s="150" t="n">
        <v>7955.44</v>
      </c>
      <c r="O174" s="151" t="n">
        <v>23</v>
      </c>
      <c r="P174" s="149" t="n">
        <v>61044.78</v>
      </c>
      <c r="Q174" s="149" t="n">
        <f aca="false">R174+S174</f>
        <v>38935.35</v>
      </c>
      <c r="R174" s="149" t="n">
        <v>12768.32</v>
      </c>
      <c r="S174" s="150" t="n">
        <v>26167.03</v>
      </c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57"/>
      <c r="G175" s="152" t="s">
        <v>26</v>
      </c>
      <c r="H175" s="153"/>
      <c r="I175" s="154"/>
      <c r="J175" s="154"/>
      <c r="K175" s="155"/>
      <c r="L175" s="155" t="n">
        <f aca="false">M175+N175</f>
        <v>0</v>
      </c>
      <c r="M175" s="155"/>
      <c r="N175" s="156"/>
      <c r="O175" s="157"/>
      <c r="P175" s="155"/>
      <c r="Q175" s="155" t="n">
        <f aca="false">R175+S175</f>
        <v>0</v>
      </c>
      <c r="R175" s="155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33"/>
      <c r="B176" s="34" t="s">
        <v>123</v>
      </c>
      <c r="C176" s="35" t="s">
        <v>20</v>
      </c>
      <c r="D176" s="35"/>
      <c r="E176" s="35" t="s">
        <v>25</v>
      </c>
      <c r="F176" s="36"/>
      <c r="G176" s="146" t="s">
        <v>22</v>
      </c>
      <c r="H176" s="159" t="n">
        <v>3</v>
      </c>
      <c r="I176" s="160" t="n">
        <v>2</v>
      </c>
      <c r="J176" s="160" t="n">
        <v>2</v>
      </c>
      <c r="K176" s="161" t="n">
        <v>881</v>
      </c>
      <c r="L176" s="161" t="n">
        <f aca="false">M176+N176</f>
        <v>881</v>
      </c>
      <c r="M176" s="161" t="n">
        <v>881</v>
      </c>
      <c r="N176" s="162"/>
      <c r="O176" s="163" t="n">
        <v>6</v>
      </c>
      <c r="P176" s="161" t="n">
        <v>10868.41</v>
      </c>
      <c r="Q176" s="161" t="n">
        <f aca="false">R176+S176</f>
        <v>10269.33</v>
      </c>
      <c r="R176" s="161" t="n">
        <v>6930.62</v>
      </c>
      <c r="S176" s="162" t="n">
        <v>3338.71</v>
      </c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33"/>
      <c r="B177" s="34"/>
      <c r="C177" s="34"/>
      <c r="D177" s="34"/>
      <c r="E177" s="34"/>
      <c r="F177" s="42" t="s">
        <v>207</v>
      </c>
      <c r="G177" s="164" t="s">
        <v>26</v>
      </c>
      <c r="H177" s="153" t="n">
        <v>1</v>
      </c>
      <c r="I177" s="165"/>
      <c r="J177" s="165"/>
      <c r="K177" s="166"/>
      <c r="L177" s="161" t="n">
        <f aca="false">M177+N177</f>
        <v>0</v>
      </c>
      <c r="M177" s="166" t="n">
        <v>0</v>
      </c>
      <c r="N177" s="167"/>
      <c r="O177" s="168" t="n">
        <v>1</v>
      </c>
      <c r="P177" s="166"/>
      <c r="Q177" s="166" t="n">
        <f aca="false">R177+S177</f>
        <v>881</v>
      </c>
      <c r="R177" s="166" t="n">
        <f aca="false">881</f>
        <v>881</v>
      </c>
      <c r="S177" s="167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.75" hidden="false" customHeight="true" outlineLevel="0" collapsed="false">
      <c r="A178" s="17"/>
      <c r="B178" s="18" t="s">
        <v>124</v>
      </c>
      <c r="C178" s="19" t="s">
        <v>20</v>
      </c>
      <c r="D178" s="19"/>
      <c r="E178" s="19" t="s">
        <v>88</v>
      </c>
      <c r="F178" s="20"/>
      <c r="G178" s="146" t="s">
        <v>22</v>
      </c>
      <c r="H178" s="159" t="n">
        <v>6</v>
      </c>
      <c r="I178" s="148" t="n">
        <v>2</v>
      </c>
      <c r="J178" s="148" t="n">
        <v>2</v>
      </c>
      <c r="K178" s="149" t="n">
        <v>5272.09</v>
      </c>
      <c r="L178" s="149" t="n">
        <f aca="false">M178+N178</f>
        <v>0</v>
      </c>
      <c r="M178" s="149"/>
      <c r="N178" s="150"/>
      <c r="O178" s="151" t="n">
        <v>6</v>
      </c>
      <c r="P178" s="149" t="n">
        <v>16237.42</v>
      </c>
      <c r="Q178" s="149" t="n">
        <f aca="false">R178+S178</f>
        <v>14475.42</v>
      </c>
      <c r="R178" s="149" t="n">
        <v>14475.42</v>
      </c>
      <c r="S178" s="15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17"/>
      <c r="B179" s="18"/>
      <c r="C179" s="18"/>
      <c r="D179" s="18"/>
      <c r="E179" s="18"/>
      <c r="F179" s="42" t="s">
        <v>245</v>
      </c>
      <c r="G179" s="164" t="s">
        <v>23</v>
      </c>
      <c r="H179" s="172" t="n">
        <v>7</v>
      </c>
      <c r="I179" s="165"/>
      <c r="J179" s="165"/>
      <c r="K179" s="166"/>
      <c r="L179" s="166" t="n">
        <v>0</v>
      </c>
      <c r="M179" s="166"/>
      <c r="N179" s="167"/>
      <c r="O179" s="168" t="n">
        <v>2</v>
      </c>
      <c r="P179" s="166" t="n">
        <v>3976.4</v>
      </c>
      <c r="Q179" s="166" t="n">
        <v>3976.4</v>
      </c>
      <c r="R179" s="166" t="n">
        <v>3976.4</v>
      </c>
      <c r="S179" s="167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.75" hidden="false" customHeight="true" outlineLevel="0" collapsed="false">
      <c r="A180" s="17"/>
      <c r="B180" s="18" t="s">
        <v>208</v>
      </c>
      <c r="C180" s="19" t="s">
        <v>260</v>
      </c>
      <c r="D180" s="19" t="s">
        <v>261</v>
      </c>
      <c r="E180" s="127"/>
      <c r="F180" s="20"/>
      <c r="G180" s="146" t="s">
        <v>22</v>
      </c>
      <c r="H180" s="173" t="n">
        <v>11</v>
      </c>
      <c r="I180" s="148" t="n">
        <v>3</v>
      </c>
      <c r="J180" s="148" t="n">
        <v>3</v>
      </c>
      <c r="K180" s="149" t="n">
        <v>3728.39</v>
      </c>
      <c r="L180" s="149" t="n">
        <f aca="false">M180+N180</f>
        <v>0</v>
      </c>
      <c r="M180" s="149"/>
      <c r="N180" s="150"/>
      <c r="O180" s="151"/>
      <c r="P180" s="149"/>
      <c r="Q180" s="149" t="n">
        <f aca="false">R180+S180</f>
        <v>0</v>
      </c>
      <c r="R180" s="149"/>
      <c r="S180" s="15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28" t="s">
        <v>262</v>
      </c>
      <c r="F181" s="26" t="s">
        <v>246</v>
      </c>
      <c r="G181" s="152" t="s">
        <v>23</v>
      </c>
      <c r="H181" s="174" t="n">
        <v>5</v>
      </c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125</v>
      </c>
      <c r="C182" s="35" t="s">
        <v>33</v>
      </c>
      <c r="D182" s="35" t="s">
        <v>126</v>
      </c>
      <c r="E182" s="35" t="s">
        <v>127</v>
      </c>
      <c r="F182" s="36"/>
      <c r="G182" s="158" t="s">
        <v>22</v>
      </c>
      <c r="H182" s="159" t="n">
        <v>8</v>
      </c>
      <c r="I182" s="160" t="n">
        <v>3</v>
      </c>
      <c r="J182" s="160" t="n">
        <v>4</v>
      </c>
      <c r="K182" s="161" t="n">
        <v>5845.96</v>
      </c>
      <c r="L182" s="161" t="n">
        <f aca="false">M182+N182</f>
        <v>2128.14</v>
      </c>
      <c r="M182" s="161"/>
      <c r="N182" s="162" t="n">
        <v>2128.14</v>
      </c>
      <c r="O182" s="163" t="n">
        <v>11</v>
      </c>
      <c r="P182" s="161" t="n">
        <v>23802.08</v>
      </c>
      <c r="Q182" s="161" t="n">
        <f aca="false">R182+S182</f>
        <v>15275.34</v>
      </c>
      <c r="R182" s="161" t="n">
        <v>11500.86</v>
      </c>
      <c r="S182" s="162" t="n">
        <v>3774.48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/>
      <c r="G183" s="164" t="s">
        <v>23</v>
      </c>
      <c r="H183" s="171" t="n">
        <v>29</v>
      </c>
      <c r="I183" s="165" t="n">
        <v>3</v>
      </c>
      <c r="J183" s="165" t="n">
        <v>3</v>
      </c>
      <c r="K183" s="166" t="n">
        <v>7752.8</v>
      </c>
      <c r="L183" s="166" t="n">
        <v>2995.4</v>
      </c>
      <c r="M183" s="166" t="n">
        <v>1938.2</v>
      </c>
      <c r="N183" s="167" t="n">
        <v>1057.2</v>
      </c>
      <c r="O183" s="168" t="n">
        <v>9</v>
      </c>
      <c r="P183" s="166" t="n">
        <v>28054.84</v>
      </c>
      <c r="Q183" s="166" t="n">
        <v>4581.2</v>
      </c>
      <c r="R183" s="166" t="n">
        <v>1409.6</v>
      </c>
      <c r="S183" s="167" t="n">
        <v>3171.6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128</v>
      </c>
      <c r="C184" s="19" t="s">
        <v>20</v>
      </c>
      <c r="D184" s="19"/>
      <c r="E184" s="19" t="s">
        <v>25</v>
      </c>
      <c r="F184" s="20"/>
      <c r="G184" s="146" t="s">
        <v>22</v>
      </c>
      <c r="H184" s="159" t="n">
        <v>14</v>
      </c>
      <c r="I184" s="148" t="n">
        <v>9</v>
      </c>
      <c r="J184" s="148" t="n">
        <v>9</v>
      </c>
      <c r="K184" s="149" t="n">
        <v>7860.76</v>
      </c>
      <c r="L184" s="149" t="n">
        <f aca="false">M184+N184</f>
        <v>5465.9</v>
      </c>
      <c r="M184" s="149" t="n">
        <v>1708.7</v>
      </c>
      <c r="N184" s="150" t="n">
        <v>3757.2</v>
      </c>
      <c r="O184" s="151" t="n">
        <v>12</v>
      </c>
      <c r="P184" s="149" t="n">
        <v>39296.25</v>
      </c>
      <c r="Q184" s="149" t="n">
        <f aca="false">R184+S184</f>
        <v>7845.45</v>
      </c>
      <c r="R184" s="149" t="n">
        <v>5312.27</v>
      </c>
      <c r="S184" s="150" t="n">
        <v>2533.18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67"/>
      <c r="O185" s="168"/>
      <c r="P185" s="166"/>
      <c r="Q185" s="166" t="n">
        <f aca="false">R185+S185</f>
        <v>0</v>
      </c>
      <c r="R185" s="166"/>
      <c r="S185" s="167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227</v>
      </c>
      <c r="C186" s="19"/>
      <c r="D186" s="19"/>
      <c r="E186" s="19"/>
      <c r="F186" s="20"/>
      <c r="G186" s="204" t="s">
        <v>22</v>
      </c>
      <c r="H186" s="173" t="n">
        <v>1</v>
      </c>
      <c r="I186" s="148"/>
      <c r="J186" s="148"/>
      <c r="K186" s="149"/>
      <c r="L186" s="149" t="n">
        <f aca="false">M186+N186</f>
        <v>0</v>
      </c>
      <c r="M186" s="149"/>
      <c r="N186" s="150"/>
      <c r="O186" s="206"/>
      <c r="P186" s="149"/>
      <c r="Q186" s="149" t="n">
        <f aca="false">R186+S186</f>
        <v>0</v>
      </c>
      <c r="R186" s="149"/>
      <c r="S186" s="15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8"/>
      <c r="F187" s="57"/>
      <c r="G187" s="207" t="s">
        <v>26</v>
      </c>
      <c r="H187" s="174"/>
      <c r="I187" s="154"/>
      <c r="J187" s="154"/>
      <c r="K187" s="155"/>
      <c r="L187" s="155" t="n">
        <f aca="false">M187+N187</f>
        <v>0</v>
      </c>
      <c r="M187" s="155"/>
      <c r="N187" s="156"/>
      <c r="O187" s="209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129</v>
      </c>
      <c r="C188" s="35" t="s">
        <v>38</v>
      </c>
      <c r="D188" s="35" t="s">
        <v>130</v>
      </c>
      <c r="E188" s="35" t="s">
        <v>25</v>
      </c>
      <c r="F188" s="36"/>
      <c r="G188" s="158" t="s">
        <v>22</v>
      </c>
      <c r="H188" s="159" t="n">
        <v>8</v>
      </c>
      <c r="I188" s="160" t="n">
        <v>5</v>
      </c>
      <c r="J188" s="160" t="n">
        <v>5</v>
      </c>
      <c r="K188" s="161" t="n">
        <v>3147.73</v>
      </c>
      <c r="L188" s="161" t="n">
        <f aca="false">M188+N188</f>
        <v>3147.73</v>
      </c>
      <c r="M188" s="161"/>
      <c r="N188" s="162" t="n">
        <v>3147.73</v>
      </c>
      <c r="O188" s="163" t="n">
        <v>2</v>
      </c>
      <c r="P188" s="161" t="n">
        <v>44463.45</v>
      </c>
      <c r="Q188" s="161" t="n">
        <f aca="false">R188+S188</f>
        <v>44463.45</v>
      </c>
      <c r="R188" s="161"/>
      <c r="S188" s="162" t="n">
        <v>44463.45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209</v>
      </c>
      <c r="G189" s="164" t="s">
        <v>26</v>
      </c>
      <c r="H189" s="153" t="n">
        <v>3</v>
      </c>
      <c r="I189" s="165"/>
      <c r="J189" s="165"/>
      <c r="K189" s="166"/>
      <c r="L189" s="161" t="n">
        <f aca="false">M189+N189</f>
        <v>0</v>
      </c>
      <c r="M189" s="166" t="n">
        <v>0</v>
      </c>
      <c r="N189" s="167"/>
      <c r="O189" s="168" t="n">
        <v>7</v>
      </c>
      <c r="P189" s="166" t="n">
        <v>20590.6</v>
      </c>
      <c r="Q189" s="166" t="n">
        <f aca="false">R189+S189</f>
        <v>1762</v>
      </c>
      <c r="R189" s="166" t="n">
        <f aca="false">881+881</f>
        <v>1762</v>
      </c>
      <c r="S189" s="167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6.5" hidden="false" customHeight="true" outlineLevel="0" collapsed="false">
      <c r="A190" s="17"/>
      <c r="B190" s="18" t="s">
        <v>131</v>
      </c>
      <c r="C190" s="19" t="s">
        <v>38</v>
      </c>
      <c r="D190" s="19" t="s">
        <v>130</v>
      </c>
      <c r="E190" s="19" t="s">
        <v>25</v>
      </c>
      <c r="F190" s="20"/>
      <c r="G190" s="146" t="s">
        <v>22</v>
      </c>
      <c r="H190" s="159" t="n">
        <v>8</v>
      </c>
      <c r="I190" s="148" t="n">
        <v>6</v>
      </c>
      <c r="J190" s="148" t="n">
        <v>9</v>
      </c>
      <c r="K190" s="149" t="n">
        <v>18396.59</v>
      </c>
      <c r="L190" s="149" t="n">
        <f aca="false">M190+N190</f>
        <v>13633.47</v>
      </c>
      <c r="M190" s="149" t="n">
        <v>5349.43</v>
      </c>
      <c r="N190" s="150" t="n">
        <v>8284.04</v>
      </c>
      <c r="O190" s="151" t="n">
        <v>14</v>
      </c>
      <c r="P190" s="149" t="n">
        <v>65810.62</v>
      </c>
      <c r="Q190" s="149" t="n">
        <f aca="false">R190+S190</f>
        <v>55278.65</v>
      </c>
      <c r="R190" s="149" t="n">
        <v>1920.58</v>
      </c>
      <c r="S190" s="150" t="n">
        <v>53358.07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6.5" hidden="false" customHeight="true" outlineLevel="0" collapsed="false">
      <c r="A191" s="17"/>
      <c r="B191" s="18"/>
      <c r="C191" s="18"/>
      <c r="D191" s="18"/>
      <c r="E191" s="18"/>
      <c r="F191" s="26" t="s">
        <v>210</v>
      </c>
      <c r="G191" s="152" t="s">
        <v>26</v>
      </c>
      <c r="H191" s="153" t="n">
        <v>2</v>
      </c>
      <c r="I191" s="154" t="n">
        <v>2</v>
      </c>
      <c r="J191" s="154" t="n">
        <v>2</v>
      </c>
      <c r="K191" s="155" t="n">
        <v>1585.8</v>
      </c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210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6.5" hidden="false" customHeight="true" outlineLevel="0" collapsed="false">
      <c r="A192" s="33"/>
      <c r="B192" s="34" t="s">
        <v>132</v>
      </c>
      <c r="C192" s="35" t="s">
        <v>20</v>
      </c>
      <c r="D192" s="35"/>
      <c r="E192" s="35" t="s">
        <v>69</v>
      </c>
      <c r="F192" s="38"/>
      <c r="G192" s="146" t="s">
        <v>22</v>
      </c>
      <c r="H192" s="159" t="n">
        <v>8</v>
      </c>
      <c r="I192" s="160" t="n">
        <v>5</v>
      </c>
      <c r="J192" s="160" t="n">
        <v>7</v>
      </c>
      <c r="K192" s="161" t="n">
        <v>14544.62</v>
      </c>
      <c r="L192" s="161" t="n">
        <f aca="false">M192+N192</f>
        <v>1973.48</v>
      </c>
      <c r="M192" s="161" t="n">
        <v>1973.48</v>
      </c>
      <c r="N192" s="162"/>
      <c r="O192" s="163" t="n">
        <v>10</v>
      </c>
      <c r="P192" s="161" t="n">
        <v>28827.93</v>
      </c>
      <c r="Q192" s="161" t="n">
        <f aca="false">R192+S192</f>
        <v>28827.93</v>
      </c>
      <c r="R192" s="161" t="n">
        <v>28827.93</v>
      </c>
      <c r="S192" s="16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6.5" hidden="false" customHeight="true" outlineLevel="0" collapsed="false">
      <c r="A193" s="33"/>
      <c r="B193" s="34"/>
      <c r="C193" s="34"/>
      <c r="D193" s="34"/>
      <c r="E193" s="34"/>
      <c r="F193" s="42" t="s">
        <v>211</v>
      </c>
      <c r="G193" s="164" t="s">
        <v>26</v>
      </c>
      <c r="H193" s="153" t="n">
        <v>5</v>
      </c>
      <c r="I193" s="165"/>
      <c r="J193" s="165"/>
      <c r="K193" s="166"/>
      <c r="L193" s="166" t="n">
        <f aca="false">M193+N193</f>
        <v>0</v>
      </c>
      <c r="M193" s="166"/>
      <c r="N193" s="167"/>
      <c r="O193" s="168" t="n">
        <v>1</v>
      </c>
      <c r="P193" s="166" t="n">
        <v>3700.2</v>
      </c>
      <c r="Q193" s="166" t="n">
        <f aca="false">R193+S193</f>
        <v>0</v>
      </c>
      <c r="R193" s="166"/>
      <c r="S193" s="167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6.5" hidden="false" customHeight="true" outlineLevel="0" collapsed="false">
      <c r="A194" s="72"/>
      <c r="B194" s="73" t="s">
        <v>133</v>
      </c>
      <c r="C194" s="74" t="s">
        <v>20</v>
      </c>
      <c r="D194" s="74"/>
      <c r="E194" s="74" t="s">
        <v>25</v>
      </c>
      <c r="F194" s="22"/>
      <c r="G194" s="146" t="s">
        <v>22</v>
      </c>
      <c r="H194" s="159" t="n">
        <v>2</v>
      </c>
      <c r="I194" s="148" t="n">
        <v>1</v>
      </c>
      <c r="J194" s="148" t="n">
        <v>1</v>
      </c>
      <c r="K194" s="149" t="n">
        <v>2784.03</v>
      </c>
      <c r="L194" s="149" t="n">
        <f aca="false">M194+N194</f>
        <v>0</v>
      </c>
      <c r="M194" s="149"/>
      <c r="N194" s="150"/>
      <c r="O194" s="151" t="n">
        <v>1</v>
      </c>
      <c r="P194" s="149" t="n">
        <v>2163.03</v>
      </c>
      <c r="Q194" s="149" t="n">
        <f aca="false">R194+S194</f>
        <v>2163.03</v>
      </c>
      <c r="R194" s="149" t="n">
        <v>2163.03</v>
      </c>
      <c r="S194" s="15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6.5" hidden="false" customHeight="true" outlineLevel="0" collapsed="false">
      <c r="A195" s="72"/>
      <c r="B195" s="73"/>
      <c r="C195" s="73"/>
      <c r="D195" s="73"/>
      <c r="E195" s="73"/>
      <c r="F195" s="42" t="s">
        <v>212</v>
      </c>
      <c r="G195" s="164" t="s">
        <v>26</v>
      </c>
      <c r="H195" s="171" t="n">
        <v>4</v>
      </c>
      <c r="I195" s="165" t="n">
        <v>1</v>
      </c>
      <c r="J195" s="165" t="n">
        <v>1</v>
      </c>
      <c r="K195" s="166" t="n">
        <v>1409.6</v>
      </c>
      <c r="L195" s="166" t="n">
        <f aca="false">M195+N195</f>
        <v>0</v>
      </c>
      <c r="M195" s="166"/>
      <c r="N195" s="167"/>
      <c r="O195" s="168" t="n">
        <v>1</v>
      </c>
      <c r="P195" s="166" t="n">
        <v>1321.5</v>
      </c>
      <c r="Q195" s="166" t="n">
        <f aca="false">R195+S195</f>
        <v>0</v>
      </c>
      <c r="R195" s="166"/>
      <c r="S195" s="167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72"/>
      <c r="B196" s="73" t="s">
        <v>134</v>
      </c>
      <c r="C196" s="74" t="s">
        <v>20</v>
      </c>
      <c r="D196" s="74"/>
      <c r="E196" s="74" t="s">
        <v>25</v>
      </c>
      <c r="F196" s="20"/>
      <c r="G196" s="146" t="s">
        <v>22</v>
      </c>
      <c r="H196" s="169"/>
      <c r="I196" s="148"/>
      <c r="J196" s="148"/>
      <c r="K196" s="149"/>
      <c r="L196" s="149" t="n">
        <f aca="false">M196+N196</f>
        <v>0</v>
      </c>
      <c r="M196" s="149"/>
      <c r="N196" s="150"/>
      <c r="O196" s="151" t="n">
        <v>1</v>
      </c>
      <c r="P196" s="149" t="n">
        <v>13019.26</v>
      </c>
      <c r="Q196" s="149" t="n">
        <f aca="false">R196+S196</f>
        <v>13019.26</v>
      </c>
      <c r="R196" s="149"/>
      <c r="S196" s="150" t="n">
        <v>13019.26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72"/>
      <c r="B197" s="73"/>
      <c r="C197" s="73"/>
      <c r="D197" s="73"/>
      <c r="E197" s="73"/>
      <c r="F197" s="42" t="s">
        <v>213</v>
      </c>
      <c r="G197" s="164" t="s">
        <v>26</v>
      </c>
      <c r="H197" s="153" t="n">
        <v>1</v>
      </c>
      <c r="I197" s="165"/>
      <c r="J197" s="165"/>
      <c r="K197" s="166"/>
      <c r="L197" s="166" t="n">
        <f aca="false">M197+N197</f>
        <v>0</v>
      </c>
      <c r="M197" s="166"/>
      <c r="N197" s="167"/>
      <c r="O197" s="168" t="n">
        <v>3</v>
      </c>
      <c r="P197" s="166" t="n">
        <v>23840.15</v>
      </c>
      <c r="Q197" s="166" t="n">
        <f aca="false">R197+S197</f>
        <v>0</v>
      </c>
      <c r="R197" s="166"/>
      <c r="S197" s="167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" hidden="false" customHeight="true" outlineLevel="0" collapsed="false">
      <c r="A198" s="17"/>
      <c r="B198" s="18" t="s">
        <v>135</v>
      </c>
      <c r="C198" s="19" t="s">
        <v>20</v>
      </c>
      <c r="D198" s="19"/>
      <c r="E198" s="19" t="s">
        <v>69</v>
      </c>
      <c r="F198" s="22"/>
      <c r="G198" s="146" t="s">
        <v>22</v>
      </c>
      <c r="H198" s="159" t="n">
        <v>8</v>
      </c>
      <c r="I198" s="148" t="n">
        <v>2</v>
      </c>
      <c r="J198" s="148" t="n">
        <v>2</v>
      </c>
      <c r="K198" s="149" t="n">
        <v>2995.4</v>
      </c>
      <c r="L198" s="149" t="n">
        <f aca="false">M198+N198</f>
        <v>2995.4</v>
      </c>
      <c r="M198" s="149" t="n">
        <v>2995.4</v>
      </c>
      <c r="N198" s="150"/>
      <c r="O198" s="151" t="n">
        <v>10</v>
      </c>
      <c r="P198" s="149" t="n">
        <v>14331.8</v>
      </c>
      <c r="Q198" s="149" t="n">
        <f aca="false">R198+S198</f>
        <v>14331.8</v>
      </c>
      <c r="R198" s="149" t="n">
        <v>14331.8</v>
      </c>
      <c r="S198" s="15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26"/>
      <c r="G199" s="152" t="s">
        <v>26</v>
      </c>
      <c r="H199" s="171" t="n">
        <v>2</v>
      </c>
      <c r="I199" s="154"/>
      <c r="J199" s="154"/>
      <c r="K199" s="155"/>
      <c r="L199" s="155" t="n">
        <f aca="false">M199+N199</f>
        <v>0</v>
      </c>
      <c r="M199" s="155"/>
      <c r="N199" s="156"/>
      <c r="O199" s="157" t="n">
        <v>2</v>
      </c>
      <c r="P199" s="155" t="n">
        <v>2292.9</v>
      </c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136</v>
      </c>
      <c r="C200" s="35" t="s">
        <v>20</v>
      </c>
      <c r="D200" s="35"/>
      <c r="E200" s="35" t="s">
        <v>98</v>
      </c>
      <c r="F200" s="36"/>
      <c r="G200" s="146" t="s">
        <v>22</v>
      </c>
      <c r="H200" s="159" t="n">
        <v>11</v>
      </c>
      <c r="I200" s="160" t="n">
        <v>9</v>
      </c>
      <c r="J200" s="160" t="n">
        <v>13</v>
      </c>
      <c r="K200" s="161" t="n">
        <v>20606.25</v>
      </c>
      <c r="L200" s="161" t="n">
        <f aca="false">M200+N200</f>
        <v>7070.9</v>
      </c>
      <c r="M200" s="161" t="n">
        <v>7070.9</v>
      </c>
      <c r="N200" s="162"/>
      <c r="O200" s="163" t="n">
        <v>9</v>
      </c>
      <c r="P200" s="161" t="n">
        <v>14877.54</v>
      </c>
      <c r="Q200" s="161" t="n">
        <f aca="false">R200+S200</f>
        <v>11139.63</v>
      </c>
      <c r="R200" s="161" t="n">
        <v>11139.63</v>
      </c>
      <c r="S200" s="16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 t="s">
        <v>247</v>
      </c>
      <c r="G201" s="164" t="s">
        <v>23</v>
      </c>
      <c r="H201" s="171" t="n">
        <v>5</v>
      </c>
      <c r="I201" s="165" t="n">
        <v>4</v>
      </c>
      <c r="J201" s="165" t="n">
        <v>4</v>
      </c>
      <c r="K201" s="166" t="n">
        <v>704.8</v>
      </c>
      <c r="L201" s="166" t="n">
        <f aca="false">M201+N201</f>
        <v>0</v>
      </c>
      <c r="M201" s="166"/>
      <c r="N201" s="167"/>
      <c r="O201" s="168" t="n">
        <v>5</v>
      </c>
      <c r="P201" s="166" t="n">
        <v>1585.8</v>
      </c>
      <c r="Q201" s="166" t="n">
        <v>1585.8</v>
      </c>
      <c r="R201" s="166"/>
      <c r="S201" s="167" t="n">
        <v>1585.8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137</v>
      </c>
      <c r="C202" s="19" t="s">
        <v>20</v>
      </c>
      <c r="D202" s="19"/>
      <c r="E202" s="19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50"/>
      <c r="O202" s="151"/>
      <c r="P202" s="149"/>
      <c r="Q202" s="149" t="n">
        <f aca="false">R202+S202</f>
        <v>0</v>
      </c>
      <c r="R202" s="149"/>
      <c r="S202" s="15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20.25" hidden="false" customHeight="true" outlineLevel="0" collapsed="false">
      <c r="A203" s="17"/>
      <c r="B203" s="18"/>
      <c r="C203" s="18"/>
      <c r="D203" s="18"/>
      <c r="E203" s="18"/>
      <c r="F203" s="26"/>
      <c r="G203" s="152" t="s">
        <v>26</v>
      </c>
      <c r="H203" s="153" t="n">
        <v>8</v>
      </c>
      <c r="I203" s="154"/>
      <c r="J203" s="154"/>
      <c r="K203" s="155"/>
      <c r="L203" s="155" t="n">
        <f aca="false">M203+N203</f>
        <v>0</v>
      </c>
      <c r="M203" s="155"/>
      <c r="N203" s="156"/>
      <c r="O203" s="157"/>
      <c r="P203" s="155"/>
      <c r="Q203" s="155" t="n">
        <f aca="false">R203+S203</f>
        <v>0</v>
      </c>
      <c r="R203" s="155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54"/>
      <c r="B204" s="55" t="s">
        <v>138</v>
      </c>
      <c r="C204" s="56" t="s">
        <v>33</v>
      </c>
      <c r="D204" s="56" t="s">
        <v>139</v>
      </c>
      <c r="E204" s="56" t="s">
        <v>25</v>
      </c>
      <c r="F204" s="36"/>
      <c r="G204" s="146" t="s">
        <v>22</v>
      </c>
      <c r="H204" s="169"/>
      <c r="I204" s="160"/>
      <c r="J204" s="160"/>
      <c r="K204" s="161"/>
      <c r="L204" s="161" t="n">
        <f aca="false">M204+N204</f>
        <v>0</v>
      </c>
      <c r="M204" s="161"/>
      <c r="N204" s="162"/>
      <c r="O204" s="163"/>
      <c r="P204" s="161"/>
      <c r="Q204" s="161" t="n">
        <f aca="false">R204+S204</f>
        <v>0</v>
      </c>
      <c r="R204" s="161"/>
      <c r="S204" s="16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54"/>
      <c r="B205" s="55"/>
      <c r="C205" s="55"/>
      <c r="D205" s="55"/>
      <c r="E205" s="55"/>
      <c r="F205" s="26" t="s">
        <v>214</v>
      </c>
      <c r="G205" s="152" t="s">
        <v>26</v>
      </c>
      <c r="H205" s="171" t="n">
        <v>5</v>
      </c>
      <c r="I205" s="154" t="n">
        <v>1</v>
      </c>
      <c r="J205" s="154" t="n">
        <v>1</v>
      </c>
      <c r="K205" s="155" t="n">
        <v>2466.8</v>
      </c>
      <c r="L205" s="155" t="n">
        <f aca="false">M205+N205</f>
        <v>0</v>
      </c>
      <c r="M205" s="155"/>
      <c r="N205" s="156"/>
      <c r="O205" s="157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" hidden="false" customHeight="true" outlineLevel="0" collapsed="false">
      <c r="A206" s="33"/>
      <c r="B206" s="34" t="s">
        <v>140</v>
      </c>
      <c r="C206" s="35" t="s">
        <v>20</v>
      </c>
      <c r="D206" s="35"/>
      <c r="E206" s="35" t="s">
        <v>141</v>
      </c>
      <c r="F206" s="36"/>
      <c r="G206" s="146" t="s">
        <v>22</v>
      </c>
      <c r="H206" s="159" t="n">
        <v>5</v>
      </c>
      <c r="I206" s="160" t="n">
        <v>3</v>
      </c>
      <c r="J206" s="160" t="n">
        <v>3</v>
      </c>
      <c r="K206" s="161" t="n">
        <v>3881.13</v>
      </c>
      <c r="L206" s="161" t="n">
        <f aca="false">M206+N206</f>
        <v>1046.63</v>
      </c>
      <c r="M206" s="161"/>
      <c r="N206" s="162" t="n">
        <v>1046.63</v>
      </c>
      <c r="O206" s="163" t="n">
        <v>7</v>
      </c>
      <c r="P206" s="161" t="n">
        <v>20134.54</v>
      </c>
      <c r="Q206" s="161" t="n">
        <f aca="false">R206+S206</f>
        <v>8449.99</v>
      </c>
      <c r="R206" s="161"/>
      <c r="S206" s="162" t="n">
        <v>8449.99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215</v>
      </c>
      <c r="G207" s="164" t="s">
        <v>26</v>
      </c>
      <c r="H207" s="175" t="n">
        <v>1</v>
      </c>
      <c r="I207" s="165"/>
      <c r="J207" s="165"/>
      <c r="K207" s="166"/>
      <c r="L207" s="166" t="n">
        <f aca="false">M207+N207</f>
        <v>0</v>
      </c>
      <c r="M207" s="166"/>
      <c r="N207" s="167"/>
      <c r="O207" s="168"/>
      <c r="P207" s="166"/>
      <c r="Q207" s="166" t="n">
        <f aca="false">R207+S207</f>
        <v>0</v>
      </c>
      <c r="R207" s="166"/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251</v>
      </c>
      <c r="C208" s="19" t="s">
        <v>20</v>
      </c>
      <c r="D208" s="19"/>
      <c r="E208" s="19" t="s">
        <v>116</v>
      </c>
      <c r="F208" s="20"/>
      <c r="G208" s="146" t="s">
        <v>22</v>
      </c>
      <c r="H208" s="173" t="n">
        <v>1</v>
      </c>
      <c r="I208" s="148"/>
      <c r="J208" s="148"/>
      <c r="K208" s="149"/>
      <c r="L208" s="149"/>
      <c r="M208" s="149"/>
      <c r="N208" s="150"/>
      <c r="O208" s="206"/>
      <c r="P208" s="149"/>
      <c r="Q208" s="149"/>
      <c r="R208" s="149"/>
      <c r="S208" s="15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 t="s">
        <v>252</v>
      </c>
      <c r="G209" s="152" t="s">
        <v>26</v>
      </c>
      <c r="H209" s="174" t="n">
        <v>2</v>
      </c>
      <c r="I209" s="154"/>
      <c r="J209" s="154"/>
      <c r="K209" s="155"/>
      <c r="L209" s="155"/>
      <c r="M209" s="155"/>
      <c r="N209" s="156"/>
      <c r="O209" s="209"/>
      <c r="P209" s="155"/>
      <c r="Q209" s="155"/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142</v>
      </c>
      <c r="C210" s="56" t="s">
        <v>20</v>
      </c>
      <c r="D210" s="56"/>
      <c r="E210" s="56" t="s">
        <v>25</v>
      </c>
      <c r="F210" s="36"/>
      <c r="G210" s="158" t="s">
        <v>22</v>
      </c>
      <c r="H210" s="173" t="n">
        <v>4</v>
      </c>
      <c r="I210" s="148" t="n">
        <v>3</v>
      </c>
      <c r="J210" s="148" t="n">
        <v>3</v>
      </c>
      <c r="K210" s="149" t="n">
        <v>1656.28</v>
      </c>
      <c r="L210" s="149" t="n">
        <f aca="false">M210+N210</f>
        <v>1656.28</v>
      </c>
      <c r="M210" s="149" t="n">
        <v>1656.28</v>
      </c>
      <c r="N210" s="150"/>
      <c r="O210" s="228" t="n">
        <v>4</v>
      </c>
      <c r="P210" s="161" t="n">
        <v>5104.51</v>
      </c>
      <c r="Q210" s="161" t="n">
        <f aca="false">R210+S210</f>
        <v>3342.51</v>
      </c>
      <c r="R210" s="161" t="n">
        <v>3342.51</v>
      </c>
      <c r="S210" s="16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216</v>
      </c>
      <c r="G211" s="152" t="s">
        <v>26</v>
      </c>
      <c r="H211" s="174" t="n">
        <v>5</v>
      </c>
      <c r="I211" s="154" t="n">
        <v>3</v>
      </c>
      <c r="J211" s="154" t="n">
        <v>3</v>
      </c>
      <c r="K211" s="155" t="n">
        <v>5990.8</v>
      </c>
      <c r="L211" s="155" t="n">
        <f aca="false">M211+N211</f>
        <v>3347.8</v>
      </c>
      <c r="M211" s="155" t="n">
        <f aca="false">3052.81</f>
        <v>3052.81</v>
      </c>
      <c r="N211" s="156" t="n">
        <f aca="false">294.99</f>
        <v>294.99</v>
      </c>
      <c r="O211" s="209" t="n">
        <v>7</v>
      </c>
      <c r="P211" s="155" t="n">
        <v>7343.2</v>
      </c>
      <c r="Q211" s="155" t="n">
        <f aca="false">R211+S211</f>
        <v>528.6</v>
      </c>
      <c r="R211" s="155" t="n">
        <f aca="false">528.6</f>
        <v>528.6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33"/>
      <c r="B212" s="34" t="s">
        <v>143</v>
      </c>
      <c r="C212" s="35" t="s">
        <v>20</v>
      </c>
      <c r="D212" s="35"/>
      <c r="E212" s="35" t="s">
        <v>25</v>
      </c>
      <c r="F212" s="36"/>
      <c r="G212" s="146" t="s">
        <v>22</v>
      </c>
      <c r="H212" s="169"/>
      <c r="I212" s="160"/>
      <c r="J212" s="160"/>
      <c r="K212" s="161"/>
      <c r="L212" s="161" t="n">
        <f aca="false">M212+N212</f>
        <v>0</v>
      </c>
      <c r="M212" s="161"/>
      <c r="N212" s="162"/>
      <c r="O212" s="163" t="n">
        <v>1</v>
      </c>
      <c r="P212" s="161" t="n">
        <v>1515.67</v>
      </c>
      <c r="Q212" s="161" t="n">
        <f aca="false">R212+S212</f>
        <v>0</v>
      </c>
      <c r="R212" s="161"/>
      <c r="S212" s="16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217</v>
      </c>
      <c r="G213" s="164" t="s">
        <v>26</v>
      </c>
      <c r="H213" s="171" t="n">
        <v>5</v>
      </c>
      <c r="I213" s="165"/>
      <c r="J213" s="165"/>
      <c r="K213" s="166"/>
      <c r="L213" s="166" t="n">
        <f aca="false">M213+N213</f>
        <v>0</v>
      </c>
      <c r="M213" s="166"/>
      <c r="N213" s="167"/>
      <c r="O213" s="168" t="n">
        <v>5</v>
      </c>
      <c r="P213" s="166" t="n">
        <v>34775.2</v>
      </c>
      <c r="Q213" s="166" t="n">
        <f aca="false">R213+S213</f>
        <v>0</v>
      </c>
      <c r="R213" s="166"/>
      <c r="S213" s="167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144</v>
      </c>
      <c r="C214" s="19" t="s">
        <v>20</v>
      </c>
      <c r="D214" s="19"/>
      <c r="E214" s="19" t="s">
        <v>81</v>
      </c>
      <c r="F214" s="20"/>
      <c r="G214" s="146" t="s">
        <v>22</v>
      </c>
      <c r="H214" s="159" t="n">
        <v>5</v>
      </c>
      <c r="I214" s="148" t="n">
        <v>3</v>
      </c>
      <c r="J214" s="148" t="n">
        <v>3</v>
      </c>
      <c r="K214" s="149" t="n">
        <v>2096.78</v>
      </c>
      <c r="L214" s="149" t="n">
        <f aca="false">M214+N214</f>
        <v>0</v>
      </c>
      <c r="M214" s="149"/>
      <c r="N214" s="150"/>
      <c r="O214" s="151" t="n">
        <v>4</v>
      </c>
      <c r="P214" s="149" t="n">
        <v>3636.77</v>
      </c>
      <c r="Q214" s="149" t="n">
        <f aca="false">R214+S214</f>
        <v>735.64</v>
      </c>
      <c r="R214" s="149"/>
      <c r="S214" s="150" t="n">
        <v>735.64</v>
      </c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218</v>
      </c>
      <c r="G215" s="152" t="s">
        <v>26</v>
      </c>
      <c r="H215" s="171" t="n">
        <v>6</v>
      </c>
      <c r="I215" s="154"/>
      <c r="J215" s="154"/>
      <c r="K215" s="155"/>
      <c r="L215" s="155" t="n">
        <f aca="false">M215+N215</f>
        <v>0</v>
      </c>
      <c r="M215" s="155"/>
      <c r="N215" s="156"/>
      <c r="O215" s="157" t="n">
        <v>2</v>
      </c>
      <c r="P215" s="155" t="n">
        <v>4493.1</v>
      </c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33"/>
      <c r="B216" s="34" t="s">
        <v>145</v>
      </c>
      <c r="C216" s="35" t="s">
        <v>20</v>
      </c>
      <c r="D216" s="35"/>
      <c r="E216" s="35" t="s">
        <v>98</v>
      </c>
      <c r="F216" s="36"/>
      <c r="G216" s="146" t="s">
        <v>22</v>
      </c>
      <c r="H216" s="169"/>
      <c r="I216" s="160"/>
      <c r="J216" s="160"/>
      <c r="K216" s="161"/>
      <c r="L216" s="161" t="n">
        <f aca="false">M216+N216</f>
        <v>0</v>
      </c>
      <c r="M216" s="161"/>
      <c r="N216" s="162"/>
      <c r="O216" s="163"/>
      <c r="P216" s="161"/>
      <c r="Q216" s="161" t="n">
        <f aca="false">R216+S216</f>
        <v>0</v>
      </c>
      <c r="R216" s="161"/>
      <c r="S216" s="16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71"/>
      <c r="G217" s="164" t="s">
        <v>23</v>
      </c>
      <c r="H217" s="175"/>
      <c r="I217" s="165"/>
      <c r="J217" s="165"/>
      <c r="K217" s="166"/>
      <c r="L217" s="166" t="n">
        <f aca="false">M217+N217</f>
        <v>0</v>
      </c>
      <c r="M217" s="166"/>
      <c r="N217" s="167"/>
      <c r="O217" s="168"/>
      <c r="P217" s="166"/>
      <c r="Q217" s="166" t="n">
        <f aca="false">R217+S217</f>
        <v>0</v>
      </c>
      <c r="R217" s="166"/>
      <c r="S217" s="167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18" t="s">
        <v>146</v>
      </c>
      <c r="C218" s="19" t="s">
        <v>20</v>
      </c>
      <c r="D218" s="19"/>
      <c r="E218" s="19" t="s">
        <v>25</v>
      </c>
      <c r="F218" s="22"/>
      <c r="G218" s="146" t="s">
        <v>22</v>
      </c>
      <c r="H218" s="173" t="n">
        <v>6</v>
      </c>
      <c r="I218" s="148" t="n">
        <v>4</v>
      </c>
      <c r="J218" s="148" t="n">
        <v>4</v>
      </c>
      <c r="K218" s="149" t="n">
        <v>2819.2</v>
      </c>
      <c r="L218" s="149" t="n">
        <f aca="false">M218+N218</f>
        <v>352.4</v>
      </c>
      <c r="M218" s="149" t="n">
        <v>352.4</v>
      </c>
      <c r="N218" s="150"/>
      <c r="O218" s="206" t="n">
        <v>1</v>
      </c>
      <c r="P218" s="149" t="n">
        <v>1546.68</v>
      </c>
      <c r="Q218" s="149" t="n">
        <f aca="false">R218+S218</f>
        <v>1546.68</v>
      </c>
      <c r="R218" s="149" t="n">
        <v>1546.68</v>
      </c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219</v>
      </c>
      <c r="G219" s="152" t="s">
        <v>26</v>
      </c>
      <c r="H219" s="176"/>
      <c r="I219" s="154"/>
      <c r="J219" s="154"/>
      <c r="K219" s="155"/>
      <c r="L219" s="155" t="n">
        <f aca="false">M219+N219</f>
        <v>0</v>
      </c>
      <c r="M219" s="155" t="n">
        <v>0</v>
      </c>
      <c r="N219" s="156"/>
      <c r="O219" s="209" t="n">
        <v>1</v>
      </c>
      <c r="P219" s="155" t="n">
        <v>1585.8</v>
      </c>
      <c r="Q219" s="155" t="n">
        <f aca="false">R219+S219</f>
        <v>1585.8</v>
      </c>
      <c r="R219" s="155" t="n">
        <v>1585.8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54"/>
      <c r="B220" s="55" t="s">
        <v>147</v>
      </c>
      <c r="C220" s="56" t="s">
        <v>20</v>
      </c>
      <c r="D220" s="56"/>
      <c r="E220" s="56" t="s">
        <v>25</v>
      </c>
      <c r="F220" s="97"/>
      <c r="G220" s="146" t="s">
        <v>22</v>
      </c>
      <c r="H220" s="159" t="n">
        <v>3</v>
      </c>
      <c r="I220" s="160" t="n">
        <v>3</v>
      </c>
      <c r="J220" s="160" t="n">
        <v>3</v>
      </c>
      <c r="K220" s="161" t="n">
        <v>2093.26</v>
      </c>
      <c r="L220" s="161" t="n">
        <f aca="false">M220+N220</f>
        <v>0</v>
      </c>
      <c r="M220" s="161"/>
      <c r="N220" s="162"/>
      <c r="O220" s="163" t="n">
        <v>3</v>
      </c>
      <c r="P220" s="161" t="n">
        <v>14266.03</v>
      </c>
      <c r="Q220" s="161" t="n">
        <f aca="false">R220+S220</f>
        <v>0</v>
      </c>
      <c r="R220" s="161"/>
      <c r="S220" s="16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54"/>
      <c r="B221" s="55"/>
      <c r="C221" s="55"/>
      <c r="D221" s="55"/>
      <c r="E221" s="55"/>
      <c r="F221" s="26" t="s">
        <v>220</v>
      </c>
      <c r="G221" s="152" t="s">
        <v>26</v>
      </c>
      <c r="H221" s="171" t="n">
        <v>8</v>
      </c>
      <c r="I221" s="154" t="n">
        <v>1</v>
      </c>
      <c r="J221" s="154" t="n">
        <v>1</v>
      </c>
      <c r="K221" s="155" t="n">
        <v>6167</v>
      </c>
      <c r="L221" s="161" t="n">
        <f aca="false">M221+N221</f>
        <v>0</v>
      </c>
      <c r="M221" s="155" t="n">
        <v>0</v>
      </c>
      <c r="N221" s="156"/>
      <c r="O221" s="157" t="n">
        <v>5</v>
      </c>
      <c r="P221" s="155" t="n">
        <v>13038.8</v>
      </c>
      <c r="Q221" s="161" t="n">
        <f aca="false">R221+S221</f>
        <v>7576.6</v>
      </c>
      <c r="R221" s="155" t="n">
        <f aca="false">7048+528.6</f>
        <v>7576.6</v>
      </c>
      <c r="S221" s="211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" hidden="false" customHeight="true" outlineLevel="0" collapsed="false">
      <c r="A222" s="17"/>
      <c r="B222" s="18" t="s">
        <v>148</v>
      </c>
      <c r="C222" s="19" t="s">
        <v>20</v>
      </c>
      <c r="D222" s="19"/>
      <c r="E222" s="19" t="s">
        <v>21</v>
      </c>
      <c r="F222" s="22"/>
      <c r="G222" s="146" t="s">
        <v>22</v>
      </c>
      <c r="H222" s="159" t="n">
        <v>1</v>
      </c>
      <c r="I222" s="148" t="n">
        <v>1</v>
      </c>
      <c r="J222" s="148" t="n">
        <v>1</v>
      </c>
      <c r="K222" s="149" t="n">
        <v>436.1</v>
      </c>
      <c r="L222" s="149" t="n">
        <f aca="false">M222+N222</f>
        <v>0</v>
      </c>
      <c r="M222" s="149"/>
      <c r="N222" s="150"/>
      <c r="O222" s="151"/>
      <c r="P222" s="149"/>
      <c r="Q222" s="149" t="n">
        <f aca="false">R222+S222</f>
        <v>0</v>
      </c>
      <c r="R222" s="149"/>
      <c r="S222" s="15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248</v>
      </c>
      <c r="G223" s="152" t="s">
        <v>23</v>
      </c>
      <c r="H223" s="171" t="n">
        <v>2</v>
      </c>
      <c r="I223" s="154"/>
      <c r="J223" s="154"/>
      <c r="K223" s="155"/>
      <c r="L223" s="155" t="n">
        <f aca="false">M223+N223</f>
        <v>0</v>
      </c>
      <c r="M223" s="155"/>
      <c r="N223" s="156"/>
      <c r="O223" s="157" t="n">
        <v>1</v>
      </c>
      <c r="P223" s="155" t="n">
        <v>572.65</v>
      </c>
      <c r="Q223" s="155" t="n">
        <v>572.65</v>
      </c>
      <c r="R223" s="155" t="n">
        <v>572.65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99"/>
      <c r="B224" s="100" t="s">
        <v>149</v>
      </c>
      <c r="C224" s="100"/>
      <c r="D224" s="100"/>
      <c r="E224" s="100"/>
      <c r="F224" s="100"/>
      <c r="G224" s="212"/>
      <c r="H224" s="213" t="n">
        <f aca="false">SUM(H9:H223)</f>
        <v>962</v>
      </c>
      <c r="I224" s="214" t="n">
        <f aca="false">SUM(I9:I223)</f>
        <v>400</v>
      </c>
      <c r="J224" s="214" t="n">
        <f aca="false">SUM(J9:J223)</f>
        <v>434</v>
      </c>
      <c r="K224" s="215" t="n">
        <f aca="false">SUM(K9:K223)</f>
        <v>566496.5</v>
      </c>
      <c r="L224" s="215" t="n">
        <f aca="false">SUM(L9:L223)</f>
        <v>236296.24</v>
      </c>
      <c r="M224" s="215" t="n">
        <f aca="false">SUM(M9:M223)</f>
        <v>123178.58</v>
      </c>
      <c r="N224" s="215" t="n">
        <f aca="false">SUM(N9:N223)</f>
        <v>113117.66</v>
      </c>
      <c r="O224" s="213" t="n">
        <f aca="false">SUM(O9:O223)</f>
        <v>652</v>
      </c>
      <c r="P224" s="215" t="n">
        <f aca="false">SUM(P9:P223)</f>
        <v>1856514.89</v>
      </c>
      <c r="Q224" s="215" t="n">
        <f aca="false">SUM(Q9:Q223)</f>
        <v>980435.141</v>
      </c>
      <c r="R224" s="215" t="n">
        <f aca="false">SUM(R9:R223)</f>
        <v>391371.77</v>
      </c>
      <c r="S224" s="215" t="n">
        <f aca="false">SUM(S9:S223)</f>
        <v>589063.371</v>
      </c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2"/>
      <c r="G225" s="2"/>
      <c r="I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2"/>
      <c r="B228" s="2"/>
      <c r="C228" s="2"/>
      <c r="D228" s="2"/>
      <c r="E228" s="2"/>
      <c r="F228" s="103"/>
      <c r="G228" s="104" t="s">
        <v>5</v>
      </c>
      <c r="H228" s="104"/>
      <c r="I228" s="104"/>
      <c r="J228" s="104"/>
      <c r="K228" s="104"/>
      <c r="L228" s="104"/>
      <c r="M228" s="104"/>
      <c r="N228" s="104" t="s">
        <v>6</v>
      </c>
      <c r="O228" s="104"/>
      <c r="P228" s="104"/>
      <c r="Q228" s="104"/>
      <c r="R228" s="104"/>
      <c r="S228" s="105" t="s">
        <v>150</v>
      </c>
      <c r="T228" s="105" t="s">
        <v>253</v>
      </c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103"/>
      <c r="G229" s="106" t="s">
        <v>13</v>
      </c>
      <c r="H229" s="106" t="s">
        <v>14</v>
      </c>
      <c r="I229" s="106" t="s">
        <v>15</v>
      </c>
      <c r="J229" s="106" t="s">
        <v>226</v>
      </c>
      <c r="K229" s="106" t="s">
        <v>16</v>
      </c>
      <c r="L229" s="106" t="s">
        <v>17</v>
      </c>
      <c r="M229" s="106" t="s">
        <v>18</v>
      </c>
      <c r="N229" s="106" t="s">
        <v>15</v>
      </c>
      <c r="O229" s="106" t="s">
        <v>226</v>
      </c>
      <c r="P229" s="106" t="s">
        <v>16</v>
      </c>
      <c r="Q229" s="106" t="s">
        <v>17</v>
      </c>
      <c r="R229" s="106" t="s">
        <v>18</v>
      </c>
      <c r="S229" s="105"/>
      <c r="T229" s="105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107" t="s">
        <v>22</v>
      </c>
      <c r="G230" s="108" t="n">
        <f aca="false">SUMIF($G$9:$G$223,$F$230,H9:H223)</f>
        <v>606</v>
      </c>
      <c r="H230" s="108" t="n">
        <f aca="false">SUMIF($G$9:$G$223,$F$230,I9:I223)</f>
        <v>346</v>
      </c>
      <c r="I230" s="108" t="n">
        <f aca="false">SUMIF($G$9:$G$223,$F$230,J9:J223)</f>
        <v>380</v>
      </c>
      <c r="J230" s="110" t="n">
        <f aca="false">SUMIF($G$9:$G$223,F230,$K$9:$K$223)</f>
        <v>468392.82</v>
      </c>
      <c r="K230" s="110" t="n">
        <f aca="false">SUMIF($G$9:$G$223,$F$230,L9:L223)</f>
        <v>223257.44</v>
      </c>
      <c r="L230" s="110" t="n">
        <f aca="false">SUMIF($G$9:$G$223,$F$230,M9:M223)</f>
        <v>118187.57</v>
      </c>
      <c r="M230" s="109" t="n">
        <f aca="false">SUMIF($G$9:$G$223,$F$230,N9:N223)</f>
        <v>105069.87</v>
      </c>
      <c r="N230" s="108" t="n">
        <f aca="false">SUMIF($G$9:$G$223,$F$230,O9:O223)</f>
        <v>453</v>
      </c>
      <c r="O230" s="110" t="n">
        <f aca="false">SUMIF($G$9:$G$223,F230,$P$9:$P$223)</f>
        <v>1303587.38</v>
      </c>
      <c r="P230" s="110" t="n">
        <f aca="false">SUMIF($G$9:$G$223,$F$230,Q9:Q223)</f>
        <v>853489.04</v>
      </c>
      <c r="Q230" s="110" t="n">
        <f aca="false">SUMIF($G$9:$G$223,$F$230,R9:R223)</f>
        <v>331812.43</v>
      </c>
      <c r="R230" s="110" t="n">
        <f aca="false">SUMIF($G$9:$G$223,$F$230,S9:S223)</f>
        <v>521676.61</v>
      </c>
      <c r="S230" s="110" t="n">
        <f aca="false">Q230+L230</f>
        <v>450000</v>
      </c>
      <c r="T230" s="111" t="n">
        <f aca="false">J230-L230+O230-Q230</f>
        <v>1321980.2</v>
      </c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107" t="s">
        <v>26</v>
      </c>
      <c r="G231" s="108" t="n">
        <f aca="false">SUMIF($G$9:$G$223,$F$231,H9:H223)</f>
        <v>216</v>
      </c>
      <c r="H231" s="108" t="n">
        <v>20</v>
      </c>
      <c r="I231" s="108" t="n">
        <f aca="false">SUMIF($G$9:$G$223,$F$231,J9:J223)</f>
        <v>32</v>
      </c>
      <c r="J231" s="110" t="n">
        <f aca="false">SUMIF($G$9:$G$223,F231,$K$9:$K$223)</f>
        <v>75183.88</v>
      </c>
      <c r="K231" s="110" t="n">
        <f aca="false">SUMIF($G$9:$G$223,$F$231,L9:L223)</f>
        <v>5638.4</v>
      </c>
      <c r="L231" s="110" t="n">
        <f aca="false">SUMIF($G$9:$G$223,$F$231,M9:M223)</f>
        <v>3052.81</v>
      </c>
      <c r="M231" s="109" t="n">
        <f aca="false">SUMIF($G$9:$G$223,$F$231,N9:N223)</f>
        <v>2585.59</v>
      </c>
      <c r="N231" s="108" t="n">
        <f aca="false">SUMIF($G$9:$G$223,$F$231,O9:O223)</f>
        <v>142</v>
      </c>
      <c r="O231" s="110" t="n">
        <f aca="false">SUMIF($G$9:$G$223,F231,$P$9:$P$223)</f>
        <v>425689</v>
      </c>
      <c r="P231" s="110" t="n">
        <f aca="false">SUMIF($G$9:$G$223,$F$231,Q9:Q223)</f>
        <v>94485.551</v>
      </c>
      <c r="Q231" s="110" t="n">
        <f aca="false">SUMIF($G$9:$G$223,$F$231,R9:R223)</f>
        <v>41547.19</v>
      </c>
      <c r="R231" s="110" t="n">
        <f aca="false">SUMIF($G$9:$G$223,$F$231,S9:S223)</f>
        <v>52938.361</v>
      </c>
      <c r="S231" s="110" t="n">
        <f aca="false">Q231+L231</f>
        <v>44600</v>
      </c>
      <c r="T231" s="111" t="n">
        <f aca="false">J231-L231+O231-Q231</f>
        <v>456272.88</v>
      </c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107" t="s">
        <v>23</v>
      </c>
      <c r="G232" s="108" t="n">
        <f aca="false">SUMIF($G$9:$G$223,$F$232,H9:H223)</f>
        <v>140</v>
      </c>
      <c r="H232" s="108" t="n">
        <f aca="false">SUMIF($G$9:$G$223,$F$232,I9:I223)</f>
        <v>22</v>
      </c>
      <c r="I232" s="108" t="n">
        <f aca="false">SUMIF($G$9:$G$223,$F$232,J9:J223)</f>
        <v>22</v>
      </c>
      <c r="J232" s="110" t="n">
        <f aca="false">SUMIF($G$9:$G$223,F232,$K$9:$K$223)</f>
        <v>22919.8</v>
      </c>
      <c r="K232" s="110" t="n">
        <f aca="false">SUMIF($G$9:$G$223,$F$232,L9:L223)</f>
        <v>7400.4</v>
      </c>
      <c r="L232" s="110" t="n">
        <f aca="false">SUMIF($G$9:$G$223,$F$232,M9:M223)</f>
        <v>1938.2</v>
      </c>
      <c r="M232" s="109" t="n">
        <f aca="false">SUMIF($G$9:$G$223,$F$232,N9:N223)</f>
        <v>5462.2</v>
      </c>
      <c r="N232" s="108" t="n">
        <f aca="false">SUMIF($G$9:$G$223,$F$232,O9:O223)</f>
        <v>57</v>
      </c>
      <c r="O232" s="110" t="n">
        <f aca="false">SUMIF($G$9:$G$223,F232,$P$9:$P$223)</f>
        <v>127238.51</v>
      </c>
      <c r="P232" s="110" t="n">
        <f aca="false">SUMIF($G$9:$G$223,$F$232,Q9:Q223)</f>
        <v>32460.55</v>
      </c>
      <c r="Q232" s="110" t="n">
        <f aca="false">SUMIF($G$9:$G$223,$F$232,R9:R223)</f>
        <v>18012.15</v>
      </c>
      <c r="R232" s="110" t="n">
        <f aca="false">SUMIF($G$9:$G$223,$F$232,S9:S223)</f>
        <v>14448.4</v>
      </c>
      <c r="S232" s="110" t="n">
        <f aca="false">Q232+L232</f>
        <v>19950.35</v>
      </c>
      <c r="T232" s="111" t="n">
        <f aca="false">J232-L232+O232-Q232</f>
        <v>130207.96</v>
      </c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16" t="n">
        <f aca="false">G232+G231+G230</f>
        <v>962</v>
      </c>
      <c r="H233" s="216" t="n">
        <f aca="false">H232+H231+H230</f>
        <v>388</v>
      </c>
      <c r="I233" s="216" t="n">
        <f aca="false">I232+I231+I230</f>
        <v>434</v>
      </c>
      <c r="J233" s="217" t="n">
        <f aca="false">J232+J231+J230</f>
        <v>566496.5</v>
      </c>
      <c r="K233" s="217" t="n">
        <f aca="false">K232+K231+K230</f>
        <v>236296.24</v>
      </c>
      <c r="L233" s="217" t="n">
        <f aca="false">L232+L231+L230</f>
        <v>123178.58</v>
      </c>
      <c r="M233" s="217" t="n">
        <f aca="false">M232+M231+M230</f>
        <v>113117.66</v>
      </c>
      <c r="N233" s="216" t="n">
        <f aca="false">N232+N231+N230</f>
        <v>652</v>
      </c>
      <c r="O233" s="217" t="n">
        <f aca="false">O232+O231+O230</f>
        <v>1856514.89</v>
      </c>
      <c r="P233" s="217" t="n">
        <f aca="false">P232+P231+P230</f>
        <v>980435.141</v>
      </c>
      <c r="Q233" s="217" t="n">
        <f aca="false">Q232+Q231+Q230</f>
        <v>391371.77</v>
      </c>
      <c r="R233" s="217" t="n">
        <f aca="false">R232+R231+R230</f>
        <v>589063.371</v>
      </c>
      <c r="S233" s="217" t="n">
        <f aca="false">S232+S231+S230</f>
        <v>514550.35</v>
      </c>
      <c r="T233" s="217" t="n">
        <f aca="false">T232+T231+T230</f>
        <v>1908461.04</v>
      </c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78" customFormat="false" ht="15" hidden="false" customHeight="false" outlineLevel="0" collapsed="false">
      <c r="F278" s="0" t="s">
        <v>22</v>
      </c>
      <c r="G278" s="0" t="n">
        <v>606</v>
      </c>
      <c r="H278" s="0" t="n">
        <v>346</v>
      </c>
      <c r="I278" s="0" t="n">
        <v>380</v>
      </c>
      <c r="J278" s="0" t="n">
        <v>468392.82</v>
      </c>
      <c r="K278" s="0" t="n">
        <v>223257.44</v>
      </c>
      <c r="L278" s="0" t="n">
        <v>118187.57</v>
      </c>
      <c r="M278" s="0" t="n">
        <v>105069.87</v>
      </c>
      <c r="N278" s="0" t="n">
        <v>454</v>
      </c>
      <c r="O278" s="0" t="n">
        <v>1304010.26</v>
      </c>
      <c r="P278" s="0" t="n">
        <v>853489.04</v>
      </c>
      <c r="Q278" s="0" t="n">
        <v>331812.43</v>
      </c>
      <c r="R278" s="0" t="n">
        <v>521676.61</v>
      </c>
      <c r="S278" s="0" t="n">
        <v>450000</v>
      </c>
      <c r="T278" s="0" t="n">
        <v>1322403.08</v>
      </c>
    </row>
  </sheetData>
  <mergeCells count="53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5"/>
    <mergeCell ref="B93:B95"/>
    <mergeCell ref="C93:C95"/>
    <mergeCell ref="D93:D95"/>
    <mergeCell ref="E93:E95"/>
    <mergeCell ref="A96:A97"/>
    <mergeCell ref="B96:B97"/>
    <mergeCell ref="C96:C97"/>
    <mergeCell ref="D96:D97"/>
    <mergeCell ref="E96:E97"/>
    <mergeCell ref="A98:A99"/>
    <mergeCell ref="B98:B99"/>
    <mergeCell ref="C98:C99"/>
    <mergeCell ref="D98:D99"/>
    <mergeCell ref="E98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6"/>
    <mergeCell ref="B114:B116"/>
    <mergeCell ref="C114:C116"/>
    <mergeCell ref="D114:D116"/>
    <mergeCell ref="E114:E116"/>
    <mergeCell ref="A117:A118"/>
    <mergeCell ref="B117:B118"/>
    <mergeCell ref="C117:C118"/>
    <mergeCell ref="D117:D118"/>
    <mergeCell ref="E117:E118"/>
    <mergeCell ref="A119:A120"/>
    <mergeCell ref="B119:B120"/>
    <mergeCell ref="C119:C120"/>
    <mergeCell ref="D119:D120"/>
    <mergeCell ref="E119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7"/>
    <mergeCell ref="B125:B127"/>
    <mergeCell ref="C125:C127"/>
    <mergeCell ref="D125:D127"/>
    <mergeCell ref="E125:E127"/>
    <mergeCell ref="A128:A129"/>
    <mergeCell ref="B128:B129"/>
    <mergeCell ref="C128:C129"/>
    <mergeCell ref="D128:D129"/>
    <mergeCell ref="E128:E129"/>
    <mergeCell ref="A130:A132"/>
    <mergeCell ref="B130:B132"/>
    <mergeCell ref="C130:C132"/>
    <mergeCell ref="D130:D132"/>
    <mergeCell ref="E130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3"/>
    <mergeCell ref="B161:B163"/>
    <mergeCell ref="C161:C163"/>
    <mergeCell ref="D161:D163"/>
    <mergeCell ref="E161:E163"/>
    <mergeCell ref="A164:A165"/>
    <mergeCell ref="B164:B165"/>
    <mergeCell ref="C164:C165"/>
    <mergeCell ref="D164:D165"/>
    <mergeCell ref="E164:E165"/>
    <mergeCell ref="A166:A167"/>
    <mergeCell ref="B166:B167"/>
    <mergeCell ref="C166:C167"/>
    <mergeCell ref="D166:D167"/>
    <mergeCell ref="E166:E167"/>
    <mergeCell ref="A168:A169"/>
    <mergeCell ref="B168:B169"/>
    <mergeCell ref="C168:C169"/>
    <mergeCell ref="D168:D169"/>
    <mergeCell ref="E168:E169"/>
    <mergeCell ref="B170:B171"/>
    <mergeCell ref="D170:D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F228:F229"/>
    <mergeCell ref="G228:M228"/>
    <mergeCell ref="N228:R228"/>
    <mergeCell ref="S228:S229"/>
    <mergeCell ref="T228:T229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1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16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67"/>
      <c r="O9" s="151" t="n">
        <v>4</v>
      </c>
      <c r="P9" s="149" t="n">
        <v>2037.73</v>
      </c>
      <c r="Q9" s="149" t="n">
        <f aca="false">R9+S9</f>
        <v>2037.73</v>
      </c>
      <c r="R9" s="149"/>
      <c r="S9" s="167" t="n">
        <v>2037.73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67"/>
      <c r="O10" s="157" t="n">
        <v>1</v>
      </c>
      <c r="P10" s="155" t="n">
        <v>776.7</v>
      </c>
      <c r="Q10" s="155" t="n">
        <v>776.7</v>
      </c>
      <c r="R10" s="155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13</v>
      </c>
      <c r="I11" s="160" t="n">
        <v>8</v>
      </c>
      <c r="J11" s="160" t="n">
        <v>12</v>
      </c>
      <c r="K11" s="161" t="n">
        <v>19265.45</v>
      </c>
      <c r="L11" s="161" t="n">
        <f aca="false">M11+N11</f>
        <v>3301.64</v>
      </c>
      <c r="M11" s="161"/>
      <c r="N11" s="167" t="n">
        <v>3301.64</v>
      </c>
      <c r="O11" s="163" t="n">
        <v>6</v>
      </c>
      <c r="P11" s="161" t="n">
        <v>21503.99</v>
      </c>
      <c r="Q11" s="161" t="n">
        <f aca="false">R11+S11</f>
        <v>5800.07</v>
      </c>
      <c r="R11" s="161"/>
      <c r="S11" s="167" t="n">
        <v>5800.07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167"/>
      <c r="O12" s="168" t="n">
        <v>2</v>
      </c>
      <c r="P12" s="166" t="n">
        <v>1585.8</v>
      </c>
      <c r="Q12" s="166"/>
      <c r="R12" s="166"/>
      <c r="S12" s="167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16</v>
      </c>
      <c r="I13" s="148" t="n">
        <v>14</v>
      </c>
      <c r="J13" s="148" t="n">
        <v>18</v>
      </c>
      <c r="K13" s="149" t="n">
        <v>20385.74</v>
      </c>
      <c r="L13" s="149" t="n">
        <f aca="false">M13+N13</f>
        <v>9684.56</v>
      </c>
      <c r="M13" s="149" t="n">
        <v>9684.56</v>
      </c>
      <c r="N13" s="167"/>
      <c r="O13" s="206" t="n">
        <v>4</v>
      </c>
      <c r="P13" s="149" t="n">
        <v>12388.39</v>
      </c>
      <c r="Q13" s="149" t="n">
        <f aca="false">R13+S13</f>
        <v>9745.39</v>
      </c>
      <c r="R13" s="149" t="n">
        <v>4701.91</v>
      </c>
      <c r="S13" s="167" t="n">
        <v>5043.48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2</v>
      </c>
      <c r="I14" s="154"/>
      <c r="J14" s="154"/>
      <c r="K14" s="155"/>
      <c r="L14" s="155" t="n">
        <f aca="false">M14+N14</f>
        <v>0</v>
      </c>
      <c r="M14" s="155" t="n">
        <v>0</v>
      </c>
      <c r="N14" s="167"/>
      <c r="O14" s="209" t="n">
        <v>4</v>
      </c>
      <c r="P14" s="155" t="n">
        <v>5109.8</v>
      </c>
      <c r="Q14" s="155" t="n">
        <f aca="false">R14+S14</f>
        <v>3692.1</v>
      </c>
      <c r="R14" s="155" t="n">
        <f aca="false">1585.8+2106.3</f>
        <v>3692.1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67"/>
      <c r="O15" s="163" t="n">
        <v>1</v>
      </c>
      <c r="P15" s="161" t="n">
        <v>7224.2</v>
      </c>
      <c r="Q15" s="161" t="n">
        <f aca="false">R15+S15</f>
        <v>0</v>
      </c>
      <c r="R15" s="161" t="n">
        <v>0</v>
      </c>
      <c r="S15" s="167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67"/>
      <c r="O16" s="168" t="n">
        <v>3</v>
      </c>
      <c r="P16" s="166" t="n">
        <v>19515.9</v>
      </c>
      <c r="Q16" s="166" t="n">
        <f aca="false">R16+S16</f>
        <v>0</v>
      </c>
      <c r="R16" s="166"/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67"/>
      <c r="O17" s="206"/>
      <c r="P17" s="149"/>
      <c r="Q17" s="166" t="n">
        <v>0</v>
      </c>
      <c r="R17" s="149" t="n">
        <v>0</v>
      </c>
      <c r="S17" s="167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3</v>
      </c>
      <c r="I18" s="154" t="n">
        <v>1</v>
      </c>
      <c r="J18" s="154" t="n">
        <v>1</v>
      </c>
      <c r="K18" s="155" t="n">
        <v>704.8</v>
      </c>
      <c r="L18" s="155" t="n">
        <f aca="false">M18+N18</f>
        <v>0</v>
      </c>
      <c r="M18" s="155"/>
      <c r="N18" s="167"/>
      <c r="O18" s="209"/>
      <c r="P18" s="155"/>
      <c r="Q18" s="166" t="n">
        <f aca="false">R18+S18</f>
        <v>0</v>
      </c>
      <c r="R18" s="149" t="n">
        <v>0</v>
      </c>
      <c r="S18" s="167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8</v>
      </c>
      <c r="I19" s="160" t="n">
        <v>4</v>
      </c>
      <c r="J19" s="160" t="n">
        <v>4</v>
      </c>
      <c r="K19" s="161" t="n">
        <v>4012.08</v>
      </c>
      <c r="L19" s="161" t="n">
        <f aca="false">M19+N19</f>
        <v>2267.7</v>
      </c>
      <c r="M19" s="161"/>
      <c r="N19" s="167" t="n">
        <v>2267.7</v>
      </c>
      <c r="O19" s="163" t="n">
        <v>12</v>
      </c>
      <c r="P19" s="161" t="n">
        <v>17766.28</v>
      </c>
      <c r="Q19" s="161" t="n">
        <f aca="false">R19+S19</f>
        <v>16182.38</v>
      </c>
      <c r="R19" s="161" t="n">
        <v>9903.11</v>
      </c>
      <c r="S19" s="167" t="n">
        <v>6279.27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67"/>
      <c r="O20" s="157"/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17</v>
      </c>
      <c r="I21" s="160" t="n">
        <v>11</v>
      </c>
      <c r="J21" s="160" t="n">
        <v>16</v>
      </c>
      <c r="K21" s="161" t="n">
        <v>19707.08</v>
      </c>
      <c r="L21" s="161" t="n">
        <f aca="false">M21+N21</f>
        <v>12132.25</v>
      </c>
      <c r="M21" s="161" t="n">
        <v>7998.6</v>
      </c>
      <c r="N21" s="167" t="n">
        <v>4133.65</v>
      </c>
      <c r="O21" s="163" t="n">
        <v>16</v>
      </c>
      <c r="P21" s="161" t="n">
        <v>29046.42</v>
      </c>
      <c r="Q21" s="161" t="n">
        <f aca="false">R21+S21</f>
        <v>17792.17</v>
      </c>
      <c r="R21" s="161" t="n">
        <v>13470.86</v>
      </c>
      <c r="S21" s="167" t="n">
        <v>4321.31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67"/>
      <c r="O22" s="168"/>
      <c r="P22" s="166"/>
      <c r="Q22" s="166" t="n">
        <f aca="false">R22+S22</f>
        <v>0</v>
      </c>
      <c r="R22" s="166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9</v>
      </c>
      <c r="I23" s="148" t="n">
        <v>1</v>
      </c>
      <c r="J23" s="148" t="n">
        <v>1</v>
      </c>
      <c r="K23" s="149" t="n">
        <v>528.6</v>
      </c>
      <c r="L23" s="149" t="n">
        <f aca="false">M23+N23</f>
        <v>0</v>
      </c>
      <c r="M23" s="149"/>
      <c r="N23" s="167"/>
      <c r="O23" s="151"/>
      <c r="P23" s="149"/>
      <c r="Q23" s="149" t="n">
        <f aca="false">R23+S23</f>
        <v>0</v>
      </c>
      <c r="R23" s="149"/>
      <c r="S23" s="167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67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15</v>
      </c>
      <c r="I25" s="160" t="n">
        <v>9</v>
      </c>
      <c r="J25" s="160" t="n">
        <v>13</v>
      </c>
      <c r="K25" s="161" t="n">
        <v>21522.43</v>
      </c>
      <c r="L25" s="161" t="n">
        <f aca="false">M25+N25</f>
        <v>10416.76</v>
      </c>
      <c r="M25" s="161" t="n">
        <v>10416.76</v>
      </c>
      <c r="N25" s="167"/>
      <c r="O25" s="163" t="n">
        <v>7</v>
      </c>
      <c r="P25" s="161" t="n">
        <v>12143.43</v>
      </c>
      <c r="Q25" s="161" t="n">
        <f aca="false">R25+S25</f>
        <v>9706.58</v>
      </c>
      <c r="R25" s="161" t="n">
        <v>9706.58</v>
      </c>
      <c r="S25" s="167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/>
      <c r="J26" s="165"/>
      <c r="K26" s="166"/>
      <c r="L26" s="166" t="n">
        <f aca="false">M26+N26</f>
        <v>0</v>
      </c>
      <c r="M26" s="166"/>
      <c r="N26" s="167"/>
      <c r="O26" s="168" t="n">
        <v>7</v>
      </c>
      <c r="P26" s="166" t="n">
        <v>17972.4</v>
      </c>
      <c r="Q26" s="166" t="n">
        <f aca="false">R26+S26</f>
        <v>0</v>
      </c>
      <c r="R26" s="166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/>
      <c r="J27" s="148"/>
      <c r="K27" s="149"/>
      <c r="L27" s="149" t="n">
        <f aca="false">M27+N27</f>
        <v>0</v>
      </c>
      <c r="M27" s="149"/>
      <c r="N27" s="167"/>
      <c r="O27" s="151" t="n">
        <v>3</v>
      </c>
      <c r="P27" s="149" t="n">
        <v>6373.62</v>
      </c>
      <c r="Q27" s="149" t="n">
        <f aca="false">R27+S27</f>
        <v>6373.62</v>
      </c>
      <c r="R27" s="149" t="n">
        <v>3202.02</v>
      </c>
      <c r="S27" s="167" t="n">
        <v>3171.6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2</v>
      </c>
      <c r="J28" s="165" t="n">
        <v>2</v>
      </c>
      <c r="K28" s="166" t="n">
        <v>4052.6</v>
      </c>
      <c r="L28" s="166" t="n">
        <f aca="false">M28+N28</f>
        <v>0</v>
      </c>
      <c r="M28" s="166"/>
      <c r="N28" s="167"/>
      <c r="O28" s="157" t="n">
        <v>4</v>
      </c>
      <c r="P28" s="155" t="n">
        <v>14271.6</v>
      </c>
      <c r="Q28" s="155" t="n">
        <f aca="false">R28+S28</f>
        <v>7576.6</v>
      </c>
      <c r="R28" s="155" t="n">
        <f aca="false">5286+2290.6</f>
        <v>7576.6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/>
      <c r="D29" s="19"/>
      <c r="E29" s="19"/>
      <c r="F29" s="20"/>
      <c r="G29" s="146" t="s">
        <v>22</v>
      </c>
      <c r="H29" s="147" t="n">
        <v>6</v>
      </c>
      <c r="I29" s="148"/>
      <c r="J29" s="148"/>
      <c r="K29" s="149"/>
      <c r="L29" s="149" t="n">
        <f aca="false">M29+N29</f>
        <v>0</v>
      </c>
      <c r="M29" s="149"/>
      <c r="N29" s="167"/>
      <c r="O29" s="163"/>
      <c r="P29" s="161"/>
      <c r="Q29" s="161" t="n">
        <f aca="false">R29+S29</f>
        <v>0</v>
      </c>
      <c r="R29" s="161"/>
      <c r="S29" s="167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6</v>
      </c>
      <c r="I30" s="165"/>
      <c r="J30" s="165"/>
      <c r="K30" s="166"/>
      <c r="L30" s="166" t="n">
        <f aca="false">M30+N30</f>
        <v>0</v>
      </c>
      <c r="M30" s="166"/>
      <c r="N30" s="167"/>
      <c r="O30" s="168"/>
      <c r="P30" s="166"/>
      <c r="Q30" s="166" t="n">
        <f aca="false">R30+S30</f>
        <v>0</v>
      </c>
      <c r="R30" s="166"/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67"/>
      <c r="O31" s="206"/>
      <c r="P31" s="149"/>
      <c r="Q31" s="149" t="n">
        <f aca="false">R31+S31</f>
        <v>0</v>
      </c>
      <c r="R31" s="149"/>
      <c r="S31" s="167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3</v>
      </c>
      <c r="I32" s="154"/>
      <c r="J32" s="154"/>
      <c r="K32" s="155"/>
      <c r="L32" s="155" t="n">
        <f aca="false">M32+N32</f>
        <v>0</v>
      </c>
      <c r="M32" s="155"/>
      <c r="N32" s="167"/>
      <c r="O32" s="209"/>
      <c r="P32" s="155"/>
      <c r="Q32" s="155" t="n">
        <f aca="false">R32+S32</f>
        <v>0</v>
      </c>
      <c r="R32" s="155"/>
      <c r="S32" s="167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67"/>
      <c r="O33" s="163"/>
      <c r="P33" s="161"/>
      <c r="Q33" s="161" t="n">
        <f aca="false">R33+S33</f>
        <v>0</v>
      </c>
      <c r="R33" s="161"/>
      <c r="S33" s="167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67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8</v>
      </c>
      <c r="I35" s="160" t="n">
        <v>5</v>
      </c>
      <c r="J35" s="160" t="n">
        <v>5</v>
      </c>
      <c r="K35" s="161" t="n">
        <v>7486.21</v>
      </c>
      <c r="L35" s="161" t="n">
        <f aca="false">M35+N35</f>
        <v>4815.55</v>
      </c>
      <c r="M35" s="161" t="n">
        <v>4815.55</v>
      </c>
      <c r="N35" s="167"/>
      <c r="O35" s="163" t="n">
        <v>10</v>
      </c>
      <c r="P35" s="161" t="n">
        <v>39637.95</v>
      </c>
      <c r="Q35" s="161" t="n">
        <f aca="false">R35+S35</f>
        <v>22406.54</v>
      </c>
      <c r="R35" s="161" t="n">
        <v>17818.29</v>
      </c>
      <c r="S35" s="167" t="n">
        <v>4588.25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1</v>
      </c>
      <c r="J36" s="154" t="n">
        <v>1</v>
      </c>
      <c r="K36" s="155" t="n">
        <v>1233.4</v>
      </c>
      <c r="L36" s="155" t="n">
        <f aca="false">M36+N36</f>
        <v>0</v>
      </c>
      <c r="M36" s="155"/>
      <c r="N36" s="167"/>
      <c r="O36" s="157" t="n">
        <v>3</v>
      </c>
      <c r="P36" s="155" t="n">
        <v>7400.4</v>
      </c>
      <c r="Q36" s="155" t="n">
        <f aca="false">R36+S36</f>
        <v>0</v>
      </c>
      <c r="R36" s="155"/>
      <c r="S36" s="167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7</v>
      </c>
      <c r="I37" s="160" t="n">
        <v>7</v>
      </c>
      <c r="J37" s="160" t="n">
        <v>8</v>
      </c>
      <c r="K37" s="161" t="n">
        <v>17227.7</v>
      </c>
      <c r="L37" s="161" t="n">
        <f aca="false">M37+N37</f>
        <v>3765.39</v>
      </c>
      <c r="M37" s="161" t="n">
        <v>1924.1</v>
      </c>
      <c r="N37" s="167" t="n">
        <v>1841.29</v>
      </c>
      <c r="O37" s="163" t="n">
        <v>13</v>
      </c>
      <c r="P37" s="161" t="n">
        <v>52304.05</v>
      </c>
      <c r="Q37" s="161" t="n">
        <f aca="false">R37+S37</f>
        <v>48833.49</v>
      </c>
      <c r="R37" s="161" t="n">
        <v>15233.45</v>
      </c>
      <c r="S37" s="167" t="n">
        <v>33600.04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67"/>
      <c r="O38" s="168"/>
      <c r="P38" s="166"/>
      <c r="Q38" s="166" t="n">
        <f aca="false">R38+S38</f>
        <v>0</v>
      </c>
      <c r="R38" s="166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2</v>
      </c>
      <c r="I39" s="148" t="n">
        <v>1</v>
      </c>
      <c r="J39" s="148" t="n">
        <v>1</v>
      </c>
      <c r="K39" s="149" t="n">
        <v>621.99</v>
      </c>
      <c r="L39" s="149" t="n">
        <f aca="false">M39+N39</f>
        <v>0</v>
      </c>
      <c r="M39" s="149"/>
      <c r="N39" s="167"/>
      <c r="O39" s="151"/>
      <c r="P39" s="149"/>
      <c r="Q39" s="149" t="n">
        <f aca="false">R39+S39</f>
        <v>0</v>
      </c>
      <c r="R39" s="149"/>
      <c r="S39" s="167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3</v>
      </c>
      <c r="I40" s="165"/>
      <c r="J40" s="165"/>
      <c r="K40" s="166"/>
      <c r="L40" s="166" t="n">
        <f aca="false">M40+N40</f>
        <v>0</v>
      </c>
      <c r="M40" s="166"/>
      <c r="N40" s="167"/>
      <c r="O40" s="168" t="n">
        <v>3</v>
      </c>
      <c r="P40" s="166" t="n">
        <v>13945.3</v>
      </c>
      <c r="Q40" s="166" t="n">
        <f aca="false">R40+S40</f>
        <v>0</v>
      </c>
      <c r="R40" s="166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/>
      <c r="I41" s="148"/>
      <c r="J41" s="148"/>
      <c r="K41" s="149"/>
      <c r="L41" s="149" t="n">
        <f aca="false">M41+N41</f>
        <v>0</v>
      </c>
      <c r="M41" s="149"/>
      <c r="N41" s="167"/>
      <c r="O41" s="206" t="n">
        <v>4</v>
      </c>
      <c r="P41" s="149" t="n">
        <v>12699.01</v>
      </c>
      <c r="Q41" s="149" t="n">
        <f aca="false">R41+S41</f>
        <v>4593.81</v>
      </c>
      <c r="R41" s="149"/>
      <c r="S41" s="167" t="n">
        <v>4593.81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2</v>
      </c>
      <c r="I42" s="154"/>
      <c r="J42" s="154"/>
      <c r="K42" s="155"/>
      <c r="L42" s="155" t="n">
        <f aca="false">M42+N42</f>
        <v>0</v>
      </c>
      <c r="M42" s="155" t="n">
        <v>0</v>
      </c>
      <c r="N42" s="167"/>
      <c r="O42" s="209" t="n">
        <v>3</v>
      </c>
      <c r="P42" s="155" t="n">
        <v>11981.6</v>
      </c>
      <c r="Q42" s="155" t="n">
        <f aca="false">R42+S42</f>
        <v>528.6</v>
      </c>
      <c r="R42" s="155" t="n">
        <f aca="false">528.6</f>
        <v>528.6</v>
      </c>
      <c r="S42" s="167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67"/>
      <c r="O43" s="163"/>
      <c r="P43" s="161"/>
      <c r="Q43" s="161" t="n">
        <f aca="false">R43+S43</f>
        <v>0</v>
      </c>
      <c r="R43" s="161"/>
      <c r="S43" s="167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67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2</v>
      </c>
      <c r="I45" s="160"/>
      <c r="J45" s="160"/>
      <c r="K45" s="161"/>
      <c r="L45" s="161" t="n">
        <f aca="false">M45+N45</f>
        <v>0</v>
      </c>
      <c r="M45" s="161"/>
      <c r="N45" s="167"/>
      <c r="O45" s="163" t="n">
        <v>1</v>
      </c>
      <c r="P45" s="161" t="n">
        <v>5039.32</v>
      </c>
      <c r="Q45" s="161" t="n">
        <f aca="false">R45+S45</f>
        <v>5039.32</v>
      </c>
      <c r="R45" s="161" t="n">
        <v>5039.32</v>
      </c>
      <c r="S45" s="167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67"/>
      <c r="O46" s="168"/>
      <c r="P46" s="166"/>
      <c r="Q46" s="166" t="n">
        <f aca="false">R46+S46</f>
        <v>0</v>
      </c>
      <c r="R46" s="166"/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40</v>
      </c>
      <c r="I47" s="148" t="n">
        <v>36</v>
      </c>
      <c r="J47" s="148" t="n">
        <v>36</v>
      </c>
      <c r="K47" s="149" t="n">
        <v>31009.91</v>
      </c>
      <c r="L47" s="149" t="n">
        <f aca="false">M47+N47</f>
        <v>14941.16</v>
      </c>
      <c r="M47" s="149" t="n">
        <v>14941.16</v>
      </c>
      <c r="N47" s="167"/>
      <c r="O47" s="151"/>
      <c r="P47" s="149"/>
      <c r="Q47" s="149" t="n">
        <f aca="false">R47+S47</f>
        <v>0</v>
      </c>
      <c r="R47" s="149"/>
      <c r="S47" s="167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/>
      <c r="J48" s="154"/>
      <c r="K48" s="155"/>
      <c r="L48" s="155" t="n">
        <f aca="false">M48+N48</f>
        <v>0</v>
      </c>
      <c r="M48" s="155"/>
      <c r="N48" s="167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11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7082.9</v>
      </c>
      <c r="M49" s="161" t="n">
        <v>1830.37</v>
      </c>
      <c r="N49" s="167" t="n">
        <v>5252.53</v>
      </c>
      <c r="O49" s="163" t="n">
        <v>17</v>
      </c>
      <c r="P49" s="161" t="n">
        <v>61726.54</v>
      </c>
      <c r="Q49" s="161" t="n">
        <f aca="false">R49+S49</f>
        <v>38366.17</v>
      </c>
      <c r="R49" s="161" t="n">
        <v>34571.95</v>
      </c>
      <c r="S49" s="167" t="n">
        <v>3794.22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67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67"/>
      <c r="O51" s="163" t="n">
        <v>3</v>
      </c>
      <c r="P51" s="161" t="n">
        <v>18745.92</v>
      </c>
      <c r="Q51" s="161" t="n">
        <f aca="false">R51+S51</f>
        <v>3805.92</v>
      </c>
      <c r="R51" s="161" t="n">
        <v>3805.92</v>
      </c>
      <c r="S51" s="167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1" t="n">
        <f aca="false">M52+N52</f>
        <v>0</v>
      </c>
      <c r="M52" s="166" t="n">
        <v>0</v>
      </c>
      <c r="N52" s="167"/>
      <c r="O52" s="168" t="n">
        <v>7</v>
      </c>
      <c r="P52" s="166" t="n">
        <v>14217.29</v>
      </c>
      <c r="Q52" s="161" t="n">
        <f aca="false">R52+S52</f>
        <v>5081.89</v>
      </c>
      <c r="R52" s="166" t="n">
        <f aca="false">1409.6+3672.29</f>
        <v>5081.89</v>
      </c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3</v>
      </c>
      <c r="I53" s="148"/>
      <c r="J53" s="148"/>
      <c r="K53" s="149"/>
      <c r="L53" s="149" t="n">
        <f aca="false">M53+N53</f>
        <v>0</v>
      </c>
      <c r="M53" s="149"/>
      <c r="N53" s="167"/>
      <c r="O53" s="151" t="n">
        <v>11</v>
      </c>
      <c r="P53" s="149" t="n">
        <v>43131.21</v>
      </c>
      <c r="Q53" s="149" t="n">
        <f aca="false">R53+S53</f>
        <v>43131.21</v>
      </c>
      <c r="R53" s="149"/>
      <c r="S53" s="167" t="n">
        <v>43131.21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67"/>
      <c r="O54" s="168"/>
      <c r="P54" s="166"/>
      <c r="Q54" s="166" t="n">
        <f aca="false">R54+S54</f>
        <v>0</v>
      </c>
      <c r="R54" s="166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/>
      <c r="I55" s="148"/>
      <c r="J55" s="148"/>
      <c r="K55" s="149"/>
      <c r="L55" s="149" t="n">
        <f aca="false">M55+N55</f>
        <v>0</v>
      </c>
      <c r="M55" s="149"/>
      <c r="N55" s="167"/>
      <c r="O55" s="206"/>
      <c r="P55" s="149"/>
      <c r="Q55" s="149" t="n">
        <f aca="false">R55+S55</f>
        <v>0</v>
      </c>
      <c r="R55" s="149"/>
      <c r="S55" s="167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/>
      <c r="J56" s="154"/>
      <c r="K56" s="155"/>
      <c r="L56" s="155" t="n">
        <f aca="false">M56+N56</f>
        <v>0</v>
      </c>
      <c r="M56" s="155"/>
      <c r="N56" s="167"/>
      <c r="O56" s="209"/>
      <c r="P56" s="155"/>
      <c r="Q56" s="155" t="n">
        <f aca="false">R56+S56</f>
        <v>0</v>
      </c>
      <c r="R56" s="155"/>
      <c r="S56" s="167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9</v>
      </c>
      <c r="I57" s="160" t="n">
        <v>6</v>
      </c>
      <c r="J57" s="160" t="n">
        <v>6</v>
      </c>
      <c r="K57" s="161" t="n">
        <v>6422.49</v>
      </c>
      <c r="L57" s="161" t="n">
        <f aca="false">M57+N57</f>
        <v>0</v>
      </c>
      <c r="M57" s="161"/>
      <c r="N57" s="167"/>
      <c r="O57" s="163"/>
      <c r="P57" s="161"/>
      <c r="Q57" s="161" t="n">
        <f aca="false">R57+S57</f>
        <v>0</v>
      </c>
      <c r="R57" s="161"/>
      <c r="S57" s="167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67"/>
      <c r="O58" s="168"/>
      <c r="P58" s="166"/>
      <c r="Q58" s="166" t="n">
        <f aca="false">R58+S58</f>
        <v>0</v>
      </c>
      <c r="R58" s="166"/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/>
      <c r="D59" s="19"/>
      <c r="E59" s="19"/>
      <c r="F59" s="20"/>
      <c r="G59" s="146" t="s">
        <v>22</v>
      </c>
      <c r="H59" s="173" t="n">
        <v>6</v>
      </c>
      <c r="I59" s="148"/>
      <c r="J59" s="148"/>
      <c r="K59" s="149"/>
      <c r="L59" s="149" t="n">
        <f aca="false">M59+N59</f>
        <v>0</v>
      </c>
      <c r="M59" s="149"/>
      <c r="N59" s="167"/>
      <c r="O59" s="151"/>
      <c r="P59" s="149"/>
      <c r="Q59" s="149" t="n">
        <f aca="false">R59+S59</f>
        <v>0</v>
      </c>
      <c r="R59" s="149"/>
      <c r="S59" s="167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3</v>
      </c>
      <c r="I60" s="154"/>
      <c r="J60" s="154"/>
      <c r="K60" s="155"/>
      <c r="L60" s="155" t="n">
        <f aca="false">M60+N60</f>
        <v>0</v>
      </c>
      <c r="M60" s="155"/>
      <c r="N60" s="167"/>
      <c r="O60" s="157"/>
      <c r="P60" s="155"/>
      <c r="Q60" s="155" t="n">
        <f aca="false">R60+S60</f>
        <v>0</v>
      </c>
      <c r="R60" s="155"/>
      <c r="S60" s="167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5</v>
      </c>
      <c r="I61" s="160" t="n">
        <v>4</v>
      </c>
      <c r="J61" s="160" t="n">
        <v>6</v>
      </c>
      <c r="K61" s="161" t="n">
        <v>11690.87</v>
      </c>
      <c r="L61" s="161" t="n">
        <f aca="false">M61+N61</f>
        <v>2238.62</v>
      </c>
      <c r="M61" s="161" t="n">
        <v>2238.62</v>
      </c>
      <c r="N61" s="167"/>
      <c r="O61" s="163" t="n">
        <v>9</v>
      </c>
      <c r="P61" s="161" t="n">
        <v>47058.66</v>
      </c>
      <c r="Q61" s="161" t="n">
        <f aca="false">R61+S61</f>
        <v>39387.3</v>
      </c>
      <c r="R61" s="161" t="n">
        <v>11963.05</v>
      </c>
      <c r="S61" s="167" t="n">
        <v>27424.25</v>
      </c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67"/>
      <c r="O62" s="168"/>
      <c r="P62" s="166"/>
      <c r="Q62" s="166" t="n">
        <f aca="false">R62+S62</f>
        <v>0</v>
      </c>
      <c r="R62" s="166"/>
      <c r="S62" s="167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1</v>
      </c>
      <c r="I63" s="148"/>
      <c r="J63" s="148"/>
      <c r="K63" s="149"/>
      <c r="L63" s="149" t="n">
        <f aca="false">M63+N63</f>
        <v>0</v>
      </c>
      <c r="M63" s="149"/>
      <c r="N63" s="167"/>
      <c r="O63" s="206"/>
      <c r="P63" s="149"/>
      <c r="Q63" s="149" t="n">
        <f aca="false">R63+S63</f>
        <v>0</v>
      </c>
      <c r="R63" s="149"/>
      <c r="S63" s="167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67"/>
      <c r="O64" s="209"/>
      <c r="P64" s="155"/>
      <c r="Q64" s="155" t="n">
        <f aca="false">R64+S64</f>
        <v>0</v>
      </c>
      <c r="R64" s="155"/>
      <c r="S64" s="167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/>
      <c r="D65" s="78"/>
      <c r="E65" s="56"/>
      <c r="F65" s="38"/>
      <c r="G65" s="158" t="s">
        <v>22</v>
      </c>
      <c r="H65" s="169" t="n">
        <v>8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0</v>
      </c>
      <c r="M65" s="161"/>
      <c r="N65" s="167"/>
      <c r="O65" s="163"/>
      <c r="P65" s="161"/>
      <c r="Q65" s="161" t="n">
        <f aca="false">R65+S65</f>
        <v>0</v>
      </c>
      <c r="R65" s="161"/>
      <c r="S65" s="167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1</v>
      </c>
      <c r="I66" s="165"/>
      <c r="J66" s="165"/>
      <c r="K66" s="166"/>
      <c r="L66" s="166" t="n">
        <f aca="false">M66+N66</f>
        <v>0</v>
      </c>
      <c r="M66" s="166"/>
      <c r="N66" s="167"/>
      <c r="O66" s="168"/>
      <c r="P66" s="166"/>
      <c r="Q66" s="166" t="n">
        <f aca="false">R66+S66</f>
        <v>0</v>
      </c>
      <c r="R66" s="166"/>
      <c r="S66" s="167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67"/>
      <c r="O67" s="206"/>
      <c r="P67" s="149"/>
      <c r="Q67" s="149" t="n">
        <f aca="false">R67+S67</f>
        <v>0</v>
      </c>
      <c r="R67" s="149"/>
      <c r="S67" s="167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1</v>
      </c>
      <c r="I68" s="154"/>
      <c r="J68" s="154"/>
      <c r="K68" s="155"/>
      <c r="L68" s="155" t="n">
        <f aca="false">M68+N68</f>
        <v>0</v>
      </c>
      <c r="M68" s="155"/>
      <c r="N68" s="167"/>
      <c r="O68" s="209"/>
      <c r="P68" s="155"/>
      <c r="Q68" s="155" t="n">
        <f aca="false">R68+S68</f>
        <v>0</v>
      </c>
      <c r="R68" s="155"/>
      <c r="S68" s="167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67"/>
      <c r="O69" s="163"/>
      <c r="P69" s="161"/>
      <c r="Q69" s="161" t="n">
        <f aca="false">R69+S69</f>
        <v>0</v>
      </c>
      <c r="R69" s="161"/>
      <c r="S69" s="167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67"/>
      <c r="O70" s="168"/>
      <c r="P70" s="166"/>
      <c r="Q70" s="166" t="n">
        <f aca="false">R70+S70</f>
        <v>0</v>
      </c>
      <c r="R70" s="166"/>
      <c r="S70" s="167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67"/>
      <c r="O71" s="151" t="n">
        <v>1</v>
      </c>
      <c r="P71" s="149" t="n">
        <v>881</v>
      </c>
      <c r="Q71" s="149" t="n">
        <f aca="false">R71+S71</f>
        <v>881</v>
      </c>
      <c r="R71" s="149"/>
      <c r="S71" s="167" t="n">
        <v>881</v>
      </c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67"/>
      <c r="O72" s="168"/>
      <c r="P72" s="166"/>
      <c r="Q72" s="166" t="n">
        <f aca="false">R72+S72</f>
        <v>0</v>
      </c>
      <c r="R72" s="166"/>
      <c r="S72" s="167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/>
      <c r="D73" s="19"/>
      <c r="E73" s="19"/>
      <c r="F73" s="20"/>
      <c r="G73" s="146" t="s">
        <v>22</v>
      </c>
      <c r="H73" s="173" t="n">
        <v>6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67"/>
      <c r="O73" s="151"/>
      <c r="P73" s="149"/>
      <c r="Q73" s="149" t="n">
        <f aca="false">R73+S73</f>
        <v>0</v>
      </c>
      <c r="R73" s="149"/>
      <c r="S73" s="167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15</v>
      </c>
      <c r="I74" s="154" t="n">
        <v>2</v>
      </c>
      <c r="J74" s="154" t="n">
        <v>2</v>
      </c>
      <c r="K74" s="155" t="n">
        <v>2128.2</v>
      </c>
      <c r="L74" s="155" t="n">
        <f aca="false">M74+N74</f>
        <v>0</v>
      </c>
      <c r="M74" s="155"/>
      <c r="N74" s="167"/>
      <c r="O74" s="157"/>
      <c r="P74" s="155"/>
      <c r="Q74" s="155" t="n">
        <f aca="false">R74+S74</f>
        <v>0</v>
      </c>
      <c r="R74" s="155"/>
      <c r="S74" s="167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1691.52</v>
      </c>
      <c r="M75" s="161"/>
      <c r="N75" s="167" t="n">
        <v>1691.52</v>
      </c>
      <c r="O75" s="163" t="n">
        <v>1</v>
      </c>
      <c r="P75" s="161" t="n">
        <v>5123.54</v>
      </c>
      <c r="Q75" s="161" t="n">
        <f aca="false">R75+S75</f>
        <v>5123.54</v>
      </c>
      <c r="R75" s="161"/>
      <c r="S75" s="167" t="n">
        <v>5123.54</v>
      </c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1</v>
      </c>
      <c r="J76" s="165" t="n">
        <v>1</v>
      </c>
      <c r="K76" s="166" t="n">
        <v>704.8</v>
      </c>
      <c r="L76" s="166" t="n">
        <f aca="false">M76+N76</f>
        <v>0</v>
      </c>
      <c r="M76" s="166"/>
      <c r="N76" s="167"/>
      <c r="O76" s="168" t="n">
        <v>2</v>
      </c>
      <c r="P76" s="166" t="n">
        <v>3171.6</v>
      </c>
      <c r="Q76" s="166" t="n">
        <f aca="false">R76+S76</f>
        <v>0</v>
      </c>
      <c r="R76" s="166"/>
      <c r="S76" s="167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3</v>
      </c>
      <c r="I77" s="148"/>
      <c r="J77" s="148"/>
      <c r="K77" s="149"/>
      <c r="L77" s="149" t="n">
        <f aca="false">M77+N77</f>
        <v>0</v>
      </c>
      <c r="M77" s="149"/>
      <c r="N77" s="167"/>
      <c r="O77" s="151" t="n">
        <v>7</v>
      </c>
      <c r="P77" s="149" t="n">
        <v>16379.75</v>
      </c>
      <c r="Q77" s="149" t="n">
        <f aca="false">R77+S77</f>
        <v>8726.55</v>
      </c>
      <c r="R77" s="149" t="n">
        <v>2616.57</v>
      </c>
      <c r="S77" s="167" t="n">
        <v>6109.98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67"/>
      <c r="O78" s="168"/>
      <c r="P78" s="166"/>
      <c r="Q78" s="166" t="n">
        <f aca="false">R78+S78</f>
        <v>0</v>
      </c>
      <c r="R78" s="166"/>
      <c r="S78" s="167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67"/>
      <c r="O79" s="151"/>
      <c r="P79" s="149"/>
      <c r="Q79" s="149" t="n">
        <f aca="false">R79+S79</f>
        <v>0</v>
      </c>
      <c r="R79" s="149"/>
      <c r="S79" s="167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67"/>
      <c r="O80" s="168"/>
      <c r="P80" s="166"/>
      <c r="Q80" s="166" t="n">
        <f aca="false">R80+S80</f>
        <v>0</v>
      </c>
      <c r="R80" s="166"/>
      <c r="S80" s="167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5</v>
      </c>
      <c r="I81" s="148" t="n">
        <v>2</v>
      </c>
      <c r="J81" s="148" t="n">
        <v>2</v>
      </c>
      <c r="K81" s="149" t="n">
        <v>1573.47</v>
      </c>
      <c r="L81" s="149" t="n">
        <f aca="false">M81+N81</f>
        <v>1573.47</v>
      </c>
      <c r="M81" s="149" t="n">
        <v>704.8</v>
      </c>
      <c r="N81" s="167" t="n">
        <v>868.67</v>
      </c>
      <c r="O81" s="151" t="n">
        <v>5</v>
      </c>
      <c r="P81" s="149" t="n">
        <v>14207.76</v>
      </c>
      <c r="Q81" s="149" t="n">
        <f aca="false">R81+S81</f>
        <v>8219.9</v>
      </c>
      <c r="R81" s="149" t="n">
        <v>4384.96</v>
      </c>
      <c r="S81" s="167" t="n">
        <v>3834.94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29</v>
      </c>
      <c r="I82" s="165" t="n">
        <v>10</v>
      </c>
      <c r="J82" s="165" t="n">
        <v>10</v>
      </c>
      <c r="K82" s="166" t="n">
        <v>9867.2</v>
      </c>
      <c r="L82" s="166" t="n">
        <v>0</v>
      </c>
      <c r="M82" s="166" t="n">
        <v>0</v>
      </c>
      <c r="N82" s="167"/>
      <c r="O82" s="168" t="n">
        <v>22</v>
      </c>
      <c r="P82" s="166" t="n">
        <v>50438.42</v>
      </c>
      <c r="Q82" s="166" t="n">
        <v>9955.3</v>
      </c>
      <c r="R82" s="166" t="n">
        <v>3788.3</v>
      </c>
      <c r="S82" s="167" t="n">
        <v>6167</v>
      </c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3</v>
      </c>
      <c r="I83" s="148" t="n">
        <v>1</v>
      </c>
      <c r="J83" s="148" t="n">
        <v>2</v>
      </c>
      <c r="K83" s="149" t="n">
        <v>4177.7</v>
      </c>
      <c r="L83" s="149" t="n">
        <f aca="false">M83+N83</f>
        <v>0</v>
      </c>
      <c r="M83" s="149"/>
      <c r="N83" s="167"/>
      <c r="O83" s="151"/>
      <c r="P83" s="149"/>
      <c r="Q83" s="149" t="n">
        <f aca="false">R83+S83</f>
        <v>0</v>
      </c>
      <c r="R83" s="149"/>
      <c r="S83" s="167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5</v>
      </c>
      <c r="I84" s="165" t="n">
        <v>1</v>
      </c>
      <c r="J84" s="165" t="n">
        <v>1</v>
      </c>
      <c r="K84" s="166" t="n">
        <v>2290.6</v>
      </c>
      <c r="L84" s="166" t="n">
        <f aca="false">M84+N84</f>
        <v>0</v>
      </c>
      <c r="M84" s="166"/>
      <c r="N84" s="167"/>
      <c r="O84" s="168"/>
      <c r="P84" s="166"/>
      <c r="Q84" s="166" t="n">
        <f aca="false">R84+S84</f>
        <v>0</v>
      </c>
      <c r="R84" s="166"/>
      <c r="S84" s="167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4</v>
      </c>
      <c r="I85" s="148" t="n">
        <v>1</v>
      </c>
      <c r="J85" s="148" t="n">
        <v>1</v>
      </c>
      <c r="K85" s="149" t="n">
        <v>3217.1</v>
      </c>
      <c r="L85" s="149" t="n">
        <f aca="false">M85+N85</f>
        <v>0</v>
      </c>
      <c r="M85" s="149"/>
      <c r="N85" s="167"/>
      <c r="O85" s="151" t="n">
        <v>10</v>
      </c>
      <c r="P85" s="149" t="n">
        <v>18374.16</v>
      </c>
      <c r="Q85" s="149" t="n">
        <f aca="false">R85+S85</f>
        <v>16202.52</v>
      </c>
      <c r="R85" s="149" t="n">
        <v>3419.21</v>
      </c>
      <c r="S85" s="167" t="n">
        <v>12783.31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2</v>
      </c>
      <c r="I86" s="154" t="n">
        <v>1</v>
      </c>
      <c r="J86" s="154" t="n">
        <v>1</v>
      </c>
      <c r="K86" s="235" t="n">
        <v>2718.2</v>
      </c>
      <c r="L86" s="155" t="n">
        <f aca="false">M86+N86</f>
        <v>0</v>
      </c>
      <c r="M86" s="155"/>
      <c r="N86" s="167"/>
      <c r="O86" s="157"/>
      <c r="P86" s="155" t="n">
        <v>5462.2</v>
      </c>
      <c r="Q86" s="155" t="n">
        <f aca="false">R86+S86</f>
        <v>0</v>
      </c>
      <c r="R86" s="155"/>
      <c r="S86" s="167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67"/>
      <c r="O87" s="163" t="n">
        <v>4</v>
      </c>
      <c r="P87" s="161" t="n">
        <v>27231.45</v>
      </c>
      <c r="Q87" s="161" t="n">
        <f aca="false">R87+S87</f>
        <v>0</v>
      </c>
      <c r="R87" s="161"/>
      <c r="S87" s="167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3</v>
      </c>
      <c r="I88" s="154"/>
      <c r="J88" s="154"/>
      <c r="K88" s="155"/>
      <c r="L88" s="155" t="n">
        <f aca="false">M88+N88</f>
        <v>0</v>
      </c>
      <c r="M88" s="155"/>
      <c r="N88" s="167"/>
      <c r="O88" s="157"/>
      <c r="P88" s="155"/>
      <c r="Q88" s="155" t="n">
        <f aca="false">R88+S88</f>
        <v>0</v>
      </c>
      <c r="R88" s="155"/>
      <c r="S88" s="167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2848.8</v>
      </c>
      <c r="L89" s="161" t="n">
        <f aca="false">M89+N89</f>
        <v>0</v>
      </c>
      <c r="M89" s="161"/>
      <c r="N89" s="167"/>
      <c r="O89" s="163" t="n">
        <v>1</v>
      </c>
      <c r="P89" s="161" t="n">
        <v>13674.03</v>
      </c>
      <c r="Q89" s="161" t="n">
        <f aca="false">R89+S89</f>
        <v>0</v>
      </c>
      <c r="R89" s="161"/>
      <c r="S89" s="167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/>
      <c r="J90" s="165"/>
      <c r="K90" s="166"/>
      <c r="L90" s="161" t="n">
        <f aca="false">M90+N90</f>
        <v>0</v>
      </c>
      <c r="M90" s="166" t="n">
        <v>0</v>
      </c>
      <c r="N90" s="167"/>
      <c r="O90" s="168" t="n">
        <v>3</v>
      </c>
      <c r="P90" s="166" t="n">
        <v>11108.48</v>
      </c>
      <c r="Q90" s="166" t="n">
        <f aca="false">R90+S90</f>
        <v>8641.68</v>
      </c>
      <c r="R90" s="166" t="n">
        <f aca="false">881</f>
        <v>881</v>
      </c>
      <c r="S90" s="167" t="n">
        <v>7760.68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3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1395.5</v>
      </c>
      <c r="M91" s="149" t="n">
        <v>1395.5</v>
      </c>
      <c r="N91" s="167"/>
      <c r="O91" s="151" t="n">
        <v>2</v>
      </c>
      <c r="P91" s="149" t="n">
        <v>3239.04</v>
      </c>
      <c r="Q91" s="149" t="n">
        <f aca="false">R91+S91</f>
        <v>3239.04</v>
      </c>
      <c r="R91" s="149" t="n">
        <v>3239.04</v>
      </c>
      <c r="S91" s="167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3</v>
      </c>
      <c r="I92" s="154" t="n">
        <v>3</v>
      </c>
      <c r="J92" s="154" t="n">
        <v>3</v>
      </c>
      <c r="K92" s="155" t="n">
        <v>8454.6</v>
      </c>
      <c r="L92" s="155" t="n">
        <f aca="false">M92+N92</f>
        <v>0</v>
      </c>
      <c r="M92" s="155"/>
      <c r="N92" s="167"/>
      <c r="O92" s="157" t="n">
        <v>1</v>
      </c>
      <c r="P92" s="155"/>
      <c r="Q92" s="155" t="n">
        <f aca="false">R92+S92</f>
        <v>0</v>
      </c>
      <c r="R92" s="155"/>
      <c r="S92" s="167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18</v>
      </c>
      <c r="I93" s="160" t="n">
        <v>9</v>
      </c>
      <c r="J93" s="160" t="n">
        <v>10</v>
      </c>
      <c r="K93" s="161" t="n">
        <v>13138.8</v>
      </c>
      <c r="L93" s="161" t="n">
        <f aca="false">M93+N93</f>
        <v>10561.52</v>
      </c>
      <c r="M93" s="161"/>
      <c r="N93" s="167" t="n">
        <v>10561.52</v>
      </c>
      <c r="O93" s="163" t="n">
        <v>21</v>
      </c>
      <c r="P93" s="161" t="n">
        <v>46869.6</v>
      </c>
      <c r="Q93" s="161" t="n">
        <f aca="false">R93+S93</f>
        <v>40347.41</v>
      </c>
      <c r="R93" s="161"/>
      <c r="S93" s="167" t="n">
        <v>40347.41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67"/>
      <c r="O94" s="168" t="n">
        <v>5</v>
      </c>
      <c r="P94" s="166" t="n">
        <v>15858</v>
      </c>
      <c r="Q94" s="166" t="n">
        <f aca="false">R94+S94</f>
        <v>0</v>
      </c>
      <c r="R94" s="166"/>
      <c r="S94" s="167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10</v>
      </c>
      <c r="I95" s="148" t="n">
        <v>7</v>
      </c>
      <c r="J95" s="148" t="n">
        <v>7</v>
      </c>
      <c r="K95" s="149" t="n">
        <v>4413.25</v>
      </c>
      <c r="L95" s="149" t="n">
        <f aca="false">M95+N95</f>
        <v>599.08</v>
      </c>
      <c r="M95" s="149"/>
      <c r="N95" s="167" t="n">
        <v>599.08</v>
      </c>
      <c r="O95" s="151" t="n">
        <v>2</v>
      </c>
      <c r="P95" s="149" t="n">
        <v>12380.09</v>
      </c>
      <c r="Q95" s="149" t="n">
        <f aca="false">R95+S95</f>
        <v>3600.4</v>
      </c>
      <c r="R95" s="149"/>
      <c r="S95" s="167" t="n">
        <v>3600.4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67"/>
      <c r="O96" s="168" t="n">
        <v>6</v>
      </c>
      <c r="P96" s="166" t="n">
        <v>8457.6</v>
      </c>
      <c r="Q96" s="166" t="n">
        <f aca="false">R96+S96</f>
        <v>0</v>
      </c>
      <c r="R96" s="166"/>
      <c r="S96" s="167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5</v>
      </c>
      <c r="I97" s="148" t="n">
        <v>5</v>
      </c>
      <c r="J97" s="148" t="n">
        <v>5</v>
      </c>
      <c r="K97" s="149" t="n">
        <v>2293.24</v>
      </c>
      <c r="L97" s="149" t="n">
        <f aca="false">M97+N97</f>
        <v>2293.24</v>
      </c>
      <c r="M97" s="149"/>
      <c r="N97" s="167" t="n">
        <v>2293.24</v>
      </c>
      <c r="O97" s="151" t="n">
        <v>3</v>
      </c>
      <c r="P97" s="149" t="n">
        <v>1673.9</v>
      </c>
      <c r="Q97" s="149" t="n">
        <f aca="false">R97+S97</f>
        <v>1673.9</v>
      </c>
      <c r="R97" s="149"/>
      <c r="S97" s="167" t="n">
        <v>1673.9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2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6</v>
      </c>
      <c r="P98" s="182" t="n">
        <v>19029.6</v>
      </c>
      <c r="Q98" s="182" t="n">
        <f aca="false">R98+S98</f>
        <v>3347.8</v>
      </c>
      <c r="R98" s="182" t="n">
        <f aca="false">1057.2+2290.6</f>
        <v>3347.8</v>
      </c>
      <c r="S98" s="167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/>
      <c r="J99" s="154"/>
      <c r="K99" s="155"/>
      <c r="L99" s="155" t="n">
        <f aca="false">M99+N99</f>
        <v>0</v>
      </c>
      <c r="M99" s="155"/>
      <c r="N99" s="167"/>
      <c r="O99" s="157" t="n">
        <v>5</v>
      </c>
      <c r="P99" s="155" t="n">
        <v>8281.4</v>
      </c>
      <c r="Q99" s="155" t="n">
        <v>3524</v>
      </c>
      <c r="R99" s="155" t="n">
        <v>1938.2</v>
      </c>
      <c r="S99" s="167" t="n">
        <v>1585.8</v>
      </c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2518.96</v>
      </c>
      <c r="M100" s="161"/>
      <c r="N100" s="167" t="n">
        <v>2518.96</v>
      </c>
      <c r="O100" s="163" t="n">
        <v>4</v>
      </c>
      <c r="P100" s="161" t="n">
        <v>29707.53</v>
      </c>
      <c r="Q100" s="161" t="n">
        <f aca="false">R100+S100</f>
        <v>0</v>
      </c>
      <c r="R100" s="161"/>
      <c r="S100" s="167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67"/>
      <c r="O101" s="168"/>
      <c r="P101" s="166"/>
      <c r="Q101" s="166" t="n">
        <f aca="false">R101+S101</f>
        <v>0</v>
      </c>
      <c r="R101" s="166"/>
      <c r="S101" s="167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3</v>
      </c>
      <c r="I102" s="148" t="n">
        <v>1</v>
      </c>
      <c r="J102" s="148" t="n">
        <v>1</v>
      </c>
      <c r="K102" s="149" t="n">
        <v>3473.61</v>
      </c>
      <c r="L102" s="149" t="n">
        <f aca="false">M102+N102</f>
        <v>3473.61</v>
      </c>
      <c r="M102" s="149" t="n">
        <v>3473.61</v>
      </c>
      <c r="N102" s="167"/>
      <c r="O102" s="151"/>
      <c r="P102" s="149"/>
      <c r="Q102" s="149" t="n">
        <f aca="false">R102+S102</f>
        <v>0</v>
      </c>
      <c r="R102" s="149"/>
      <c r="S102" s="167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67"/>
      <c r="O103" s="168"/>
      <c r="P103" s="166"/>
      <c r="Q103" s="166" t="n">
        <f aca="false">R103+S103</f>
        <v>0</v>
      </c>
      <c r="R103" s="166"/>
      <c r="S103" s="167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18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2195.46</v>
      </c>
      <c r="M104" s="149"/>
      <c r="N104" s="167" t="n">
        <v>2195.46</v>
      </c>
      <c r="O104" s="151" t="n">
        <v>2</v>
      </c>
      <c r="P104" s="149" t="n">
        <v>8372.97</v>
      </c>
      <c r="Q104" s="149" t="n">
        <f aca="false">R104+S104</f>
        <v>1321.5</v>
      </c>
      <c r="R104" s="149"/>
      <c r="S104" s="167" t="n">
        <v>1321.5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/>
      <c r="J105" s="165"/>
      <c r="K105" s="166"/>
      <c r="L105" s="166" t="n">
        <f aca="false">M105+N105</f>
        <v>0</v>
      </c>
      <c r="M105" s="166"/>
      <c r="N105" s="167"/>
      <c r="O105" s="168" t="n">
        <v>1</v>
      </c>
      <c r="P105" s="166" t="n">
        <v>3171.6</v>
      </c>
      <c r="Q105" s="166" t="n">
        <f aca="false">R105+S105</f>
        <v>0</v>
      </c>
      <c r="R105" s="166"/>
      <c r="S105" s="167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67"/>
      <c r="O106" s="206"/>
      <c r="P106" s="149"/>
      <c r="Q106" s="149"/>
      <c r="R106" s="149"/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67"/>
      <c r="O107" s="209"/>
      <c r="P107" s="155"/>
      <c r="Q107" s="155"/>
      <c r="R107" s="155"/>
      <c r="S107" s="167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8</v>
      </c>
      <c r="I108" s="160" t="n">
        <v>5</v>
      </c>
      <c r="J108" s="160" t="n">
        <v>5</v>
      </c>
      <c r="K108" s="161" t="n">
        <v>4332.77</v>
      </c>
      <c r="L108" s="161" t="n">
        <f aca="false">M108+N108</f>
        <v>704.8</v>
      </c>
      <c r="M108" s="161"/>
      <c r="N108" s="167" t="n">
        <v>704.8</v>
      </c>
      <c r="O108" s="163" t="n">
        <v>2</v>
      </c>
      <c r="P108" s="161" t="n">
        <v>5828.06</v>
      </c>
      <c r="Q108" s="161" t="n">
        <f aca="false">R108+S108</f>
        <v>5828.06</v>
      </c>
      <c r="R108" s="161"/>
      <c r="S108" s="167" t="n">
        <v>5828.06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67"/>
      <c r="O109" s="157" t="n">
        <v>2</v>
      </c>
      <c r="P109" s="155" t="n">
        <v>11805.4</v>
      </c>
      <c r="Q109" s="155" t="n">
        <f aca="false">R109+S109</f>
        <v>0</v>
      </c>
      <c r="R109" s="155"/>
      <c r="S109" s="167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17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1569.94</v>
      </c>
      <c r="M110" s="161"/>
      <c r="N110" s="167" t="n">
        <v>1569.94</v>
      </c>
      <c r="O110" s="163" t="n">
        <v>20</v>
      </c>
      <c r="P110" s="161" t="n">
        <v>33342.83</v>
      </c>
      <c r="Q110" s="161" t="n">
        <f aca="false">R110+S110</f>
        <v>24550.45</v>
      </c>
      <c r="R110" s="161"/>
      <c r="S110" s="167" t="n">
        <v>24550.45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67"/>
      <c r="O111" s="168"/>
      <c r="P111" s="166"/>
      <c r="Q111" s="166" t="n">
        <f aca="false">R111+S111</f>
        <v>0</v>
      </c>
      <c r="R111" s="166"/>
      <c r="S111" s="167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/>
      <c r="J112" s="148"/>
      <c r="K112" s="149"/>
      <c r="L112" s="149" t="n">
        <f aca="false">M112+N112</f>
        <v>0</v>
      </c>
      <c r="M112" s="149"/>
      <c r="N112" s="167"/>
      <c r="O112" s="151"/>
      <c r="P112" s="149"/>
      <c r="Q112" s="149" t="n">
        <f aca="false">R112+S112</f>
        <v>0</v>
      </c>
      <c r="R112" s="149"/>
      <c r="S112" s="167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67"/>
      <c r="O113" s="157"/>
      <c r="P113" s="155"/>
      <c r="Q113" s="155" t="n">
        <f aca="false">R113+S113</f>
        <v>0</v>
      </c>
      <c r="R113" s="155"/>
      <c r="S113" s="167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16</v>
      </c>
      <c r="I114" s="148" t="n">
        <v>10</v>
      </c>
      <c r="J114" s="148" t="n">
        <v>11</v>
      </c>
      <c r="K114" s="149" t="n">
        <v>11020.18</v>
      </c>
      <c r="L114" s="149" t="n">
        <f aca="false">M114+N114</f>
        <v>6747.33</v>
      </c>
      <c r="M114" s="149" t="n">
        <v>6747.33</v>
      </c>
      <c r="N114" s="167"/>
      <c r="O114" s="151" t="n">
        <v>12</v>
      </c>
      <c r="P114" s="149" t="n">
        <v>12627.56</v>
      </c>
      <c r="Q114" s="149" t="n">
        <f aca="false">R114+S114</f>
        <v>8224.14</v>
      </c>
      <c r="R114" s="149" t="n">
        <v>8224.14</v>
      </c>
      <c r="S114" s="167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13</v>
      </c>
      <c r="I115" s="165" t="n">
        <v>5</v>
      </c>
      <c r="J115" s="165" t="n">
        <v>5</v>
      </c>
      <c r="K115" s="166" t="n">
        <v>7048</v>
      </c>
      <c r="L115" s="166" t="n">
        <v>2995.4</v>
      </c>
      <c r="M115" s="166"/>
      <c r="N115" s="167" t="n">
        <v>2995.4</v>
      </c>
      <c r="O115" s="168" t="n">
        <v>7</v>
      </c>
      <c r="P115" s="166" t="n">
        <v>15065.1</v>
      </c>
      <c r="Q115" s="166" t="n">
        <v>6255.1</v>
      </c>
      <c r="R115" s="166" t="n">
        <v>4316.9</v>
      </c>
      <c r="S115" s="167" t="n">
        <v>1938.2</v>
      </c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14</v>
      </c>
      <c r="I116" s="148" t="n">
        <v>4</v>
      </c>
      <c r="J116" s="148" t="n">
        <v>4</v>
      </c>
      <c r="K116" s="149" t="n">
        <v>12224.87</v>
      </c>
      <c r="L116" s="149" t="n">
        <f aca="false">M116+N116</f>
        <v>8527.08</v>
      </c>
      <c r="M116" s="149"/>
      <c r="N116" s="167" t="n">
        <v>8527.08</v>
      </c>
      <c r="O116" s="151" t="n">
        <v>13</v>
      </c>
      <c r="P116" s="149" t="n">
        <v>45706.08</v>
      </c>
      <c r="Q116" s="149" t="n">
        <f aca="false">R116+S116</f>
        <v>24491.76</v>
      </c>
      <c r="R116" s="149" t="n">
        <v>14024.79</v>
      </c>
      <c r="S116" s="167" t="n">
        <v>10466.97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67"/>
      <c r="O117" s="157"/>
      <c r="P117" s="155"/>
      <c r="Q117" s="155" t="n">
        <f aca="false">R117+S117</f>
        <v>0</v>
      </c>
      <c r="R117" s="155"/>
      <c r="S117" s="167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15</v>
      </c>
      <c r="I118" s="160" t="n">
        <v>3</v>
      </c>
      <c r="J118" s="160" t="n">
        <v>3</v>
      </c>
      <c r="K118" s="161" t="n">
        <v>4915.98</v>
      </c>
      <c r="L118" s="161" t="n">
        <f aca="false">M118+N118</f>
        <v>3805.92</v>
      </c>
      <c r="M118" s="161"/>
      <c r="N118" s="167" t="n">
        <v>3805.92</v>
      </c>
      <c r="O118" s="163" t="n">
        <v>8</v>
      </c>
      <c r="P118" s="161" t="n">
        <v>57142.54</v>
      </c>
      <c r="Q118" s="161" t="n">
        <f aca="false">R118+S118</f>
        <v>27118.06</v>
      </c>
      <c r="R118" s="161" t="n">
        <v>2537.28</v>
      </c>
      <c r="S118" s="167" t="n">
        <v>24580.78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1</v>
      </c>
      <c r="K120" s="166" t="n">
        <v>2290.6</v>
      </c>
      <c r="L120" s="166" t="n">
        <f aca="false">M120+N120</f>
        <v>2290.6</v>
      </c>
      <c r="M120" s="166"/>
      <c r="N120" s="167" t="n">
        <v>2290.6</v>
      </c>
      <c r="O120" s="168" t="n">
        <v>6</v>
      </c>
      <c r="P120" s="166" t="n">
        <v>29143.12</v>
      </c>
      <c r="Q120" s="166" t="n">
        <f aca="false">R120+S120</f>
        <v>29143.48</v>
      </c>
      <c r="R120" s="166"/>
      <c r="S120" s="167" t="n">
        <v>29143.48</v>
      </c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2</v>
      </c>
      <c r="I121" s="148"/>
      <c r="J121" s="148"/>
      <c r="K121" s="149"/>
      <c r="L121" s="149" t="n">
        <f aca="false">M121+N121</f>
        <v>0</v>
      </c>
      <c r="M121" s="149"/>
      <c r="N121" s="167"/>
      <c r="O121" s="151"/>
      <c r="P121" s="149"/>
      <c r="Q121" s="149" t="n">
        <f aca="false">R121+S121</f>
        <v>0</v>
      </c>
      <c r="R121" s="149"/>
      <c r="S121" s="167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67"/>
      <c r="O122" s="157"/>
      <c r="P122" s="155"/>
      <c r="Q122" s="155" t="n">
        <f aca="false">R122+S122</f>
        <v>0</v>
      </c>
      <c r="R122" s="155"/>
      <c r="S122" s="167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4</v>
      </c>
      <c r="J123" s="160" t="n">
        <v>5</v>
      </c>
      <c r="K123" s="161" t="n">
        <v>4189.07</v>
      </c>
      <c r="L123" s="161" t="n">
        <f aca="false">M123+N123</f>
        <v>1436.03</v>
      </c>
      <c r="M123" s="161" t="n">
        <v>563.84</v>
      </c>
      <c r="N123" s="167" t="n">
        <v>872.19</v>
      </c>
      <c r="O123" s="163" t="n">
        <v>7</v>
      </c>
      <c r="P123" s="161" t="n">
        <v>19910.92</v>
      </c>
      <c r="Q123" s="161" t="n">
        <f aca="false">R123+S123</f>
        <v>7694.53</v>
      </c>
      <c r="R123" s="161" t="n">
        <v>3894.06</v>
      </c>
      <c r="S123" s="167" t="n">
        <v>3800.47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9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67"/>
      <c r="O124" s="157" t="n">
        <v>2</v>
      </c>
      <c r="P124" s="155" t="n">
        <v>6871.8</v>
      </c>
      <c r="Q124" s="155" t="n">
        <f aca="false">R124+S124</f>
        <v>0</v>
      </c>
      <c r="R124" s="155"/>
      <c r="S124" s="167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67"/>
      <c r="O125" s="163"/>
      <c r="P125" s="161"/>
      <c r="Q125" s="161" t="n">
        <f aca="false">R125+S125</f>
        <v>0</v>
      </c>
      <c r="R125" s="161"/>
      <c r="S125" s="167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67"/>
      <c r="O126" s="168" t="n">
        <v>1</v>
      </c>
      <c r="P126" s="166" t="n">
        <v>6167</v>
      </c>
      <c r="Q126" s="166" t="n">
        <f aca="false">R126+S126</f>
        <v>0</v>
      </c>
      <c r="R126" s="166"/>
      <c r="S126" s="167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4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1569.94</v>
      </c>
      <c r="M127" s="149"/>
      <c r="N127" s="167" t="n">
        <v>1569.94</v>
      </c>
      <c r="O127" s="151" t="n">
        <v>6</v>
      </c>
      <c r="P127" s="149" t="n">
        <v>19174.92</v>
      </c>
      <c r="Q127" s="149" t="n">
        <f aca="false">R127+S127</f>
        <v>14088.14</v>
      </c>
      <c r="R127" s="149"/>
      <c r="S127" s="167" t="n">
        <v>14088.14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8</v>
      </c>
      <c r="I128" s="165" t="n">
        <v>5</v>
      </c>
      <c r="J128" s="165" t="n">
        <v>5</v>
      </c>
      <c r="K128" s="166" t="n">
        <v>2114.4</v>
      </c>
      <c r="L128" s="166" t="n">
        <v>1409.6</v>
      </c>
      <c r="M128" s="166"/>
      <c r="N128" s="167" t="n">
        <v>1409.6</v>
      </c>
      <c r="O128" s="168" t="n">
        <v>9</v>
      </c>
      <c r="P128" s="166" t="n">
        <v>24491.8</v>
      </c>
      <c r="Q128" s="166" t="n">
        <v>1233.4</v>
      </c>
      <c r="R128" s="166" t="n">
        <v>1233.4</v>
      </c>
      <c r="S128" s="167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7</v>
      </c>
      <c r="I129" s="148" t="n">
        <v>5</v>
      </c>
      <c r="J129" s="148" t="n">
        <v>5</v>
      </c>
      <c r="K129" s="149" t="n">
        <v>10191.4</v>
      </c>
      <c r="L129" s="149" t="n">
        <f aca="false">M129+N129</f>
        <v>6364.34</v>
      </c>
      <c r="M129" s="149" t="n">
        <v>6364.34</v>
      </c>
      <c r="N129" s="167"/>
      <c r="O129" s="151"/>
      <c r="P129" s="149"/>
      <c r="Q129" s="149" t="n">
        <f aca="false">R129+S129</f>
        <v>0</v>
      </c>
      <c r="R129" s="149"/>
      <c r="S129" s="167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9</v>
      </c>
      <c r="I130" s="188"/>
      <c r="J130" s="188"/>
      <c r="K130" s="189"/>
      <c r="L130" s="189" t="n">
        <f aca="false">M130+N130</f>
        <v>0</v>
      </c>
      <c r="M130" s="189"/>
      <c r="N130" s="167"/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67"/>
      <c r="O131" s="168"/>
      <c r="P131" s="166"/>
      <c r="Q131" s="166" t="n">
        <f aca="false">R131+S131</f>
        <v>0</v>
      </c>
      <c r="R131" s="166"/>
      <c r="S131" s="167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4</v>
      </c>
      <c r="I132" s="148"/>
      <c r="J132" s="148"/>
      <c r="K132" s="149"/>
      <c r="L132" s="149" t="n">
        <f aca="false">M132+N132</f>
        <v>0</v>
      </c>
      <c r="M132" s="149"/>
      <c r="N132" s="167"/>
      <c r="O132" s="151"/>
      <c r="P132" s="149"/>
      <c r="Q132" s="149" t="n">
        <f aca="false">R132+S132</f>
        <v>0</v>
      </c>
      <c r="R132" s="149"/>
      <c r="S132" s="167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/>
      <c r="I133" s="154"/>
      <c r="J133" s="154"/>
      <c r="K133" s="155"/>
      <c r="L133" s="155" t="n">
        <f aca="false">M133+N133</f>
        <v>0</v>
      </c>
      <c r="M133" s="155"/>
      <c r="N133" s="167"/>
      <c r="O133" s="157"/>
      <c r="P133" s="155"/>
      <c r="Q133" s="155" t="n">
        <f aca="false">R133+S133</f>
        <v>0</v>
      </c>
      <c r="R133" s="155"/>
      <c r="S133" s="167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18</v>
      </c>
      <c r="I134" s="160" t="n">
        <v>14</v>
      </c>
      <c r="J134" s="160" t="n">
        <v>14</v>
      </c>
      <c r="K134" s="161" t="n">
        <v>4096.65</v>
      </c>
      <c r="L134" s="161" t="n">
        <f aca="false">M134+N134</f>
        <v>2378.7</v>
      </c>
      <c r="M134" s="161" t="n">
        <v>396.45</v>
      </c>
      <c r="N134" s="167" t="n">
        <v>1982.25</v>
      </c>
      <c r="O134" s="163" t="n">
        <v>19</v>
      </c>
      <c r="P134" s="161" t="n">
        <v>27295.59</v>
      </c>
      <c r="Q134" s="161" t="n">
        <f aca="false">R134+S134</f>
        <v>13947.56</v>
      </c>
      <c r="R134" s="161" t="n">
        <v>13683.26</v>
      </c>
      <c r="S134" s="167" t="n">
        <v>264.3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6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0</v>
      </c>
      <c r="M135" s="182"/>
      <c r="N135" s="167"/>
      <c r="O135" s="184" t="n">
        <v>2</v>
      </c>
      <c r="P135" s="182" t="n">
        <v>5374.1</v>
      </c>
      <c r="Q135" s="161" t="n">
        <f aca="false">R135+S135</f>
        <v>1673.9</v>
      </c>
      <c r="R135" s="182" t="n">
        <v>1673.9</v>
      </c>
      <c r="S135" s="167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67"/>
      <c r="O136" s="168"/>
      <c r="P136" s="166"/>
      <c r="Q136" s="166" t="n">
        <f aca="false">R136+S136</f>
        <v>0</v>
      </c>
      <c r="R136" s="166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2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0</v>
      </c>
      <c r="M137" s="149"/>
      <c r="N137" s="167"/>
      <c r="O137" s="151"/>
      <c r="P137" s="149"/>
      <c r="Q137" s="149" t="n">
        <f aca="false">R137+S137</f>
        <v>0</v>
      </c>
      <c r="R137" s="149"/>
      <c r="S137" s="167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67"/>
      <c r="O138" s="157"/>
      <c r="P138" s="155"/>
      <c r="Q138" s="155" t="n">
        <f aca="false">R138+S138</f>
        <v>0</v>
      </c>
      <c r="R138" s="155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12</v>
      </c>
      <c r="I139" s="160" t="n">
        <v>7</v>
      </c>
      <c r="J139" s="160" t="n">
        <v>7</v>
      </c>
      <c r="K139" s="161" t="n">
        <v>4228.8</v>
      </c>
      <c r="L139" s="161" t="n">
        <f aca="false">M139+N139</f>
        <v>1057.2</v>
      </c>
      <c r="M139" s="161"/>
      <c r="N139" s="167" t="n">
        <v>1057.2</v>
      </c>
      <c r="O139" s="163" t="n">
        <v>6</v>
      </c>
      <c r="P139" s="161" t="n">
        <v>20530.3</v>
      </c>
      <c r="Q139" s="161" t="n">
        <f aca="false">R139+S139</f>
        <v>7521.1</v>
      </c>
      <c r="R139" s="161" t="n">
        <v>3068.73</v>
      </c>
      <c r="S139" s="167" t="n">
        <v>4452.37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1</v>
      </c>
      <c r="J140" s="165" t="n">
        <v>1</v>
      </c>
      <c r="K140" s="166" t="n">
        <v>3700.2</v>
      </c>
      <c r="L140" s="166" t="n">
        <f aca="false">M140+N140</f>
        <v>0</v>
      </c>
      <c r="M140" s="166"/>
      <c r="N140" s="167"/>
      <c r="O140" s="168" t="n">
        <v>2</v>
      </c>
      <c r="P140" s="166" t="n">
        <v>5286</v>
      </c>
      <c r="Q140" s="166" t="n">
        <f aca="false">R140+S140</f>
        <v>0</v>
      </c>
      <c r="R140" s="166"/>
      <c r="S140" s="167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/>
      <c r="J141" s="148"/>
      <c r="K141" s="149"/>
      <c r="L141" s="149" t="n">
        <f aca="false">M141+N141</f>
        <v>0</v>
      </c>
      <c r="M141" s="149"/>
      <c r="N141" s="167"/>
      <c r="O141" s="151" t="n">
        <v>4</v>
      </c>
      <c r="P141" s="149" t="n">
        <v>19139.98</v>
      </c>
      <c r="Q141" s="149" t="n">
        <f aca="false">R141+S141</f>
        <v>10162.24</v>
      </c>
      <c r="R141" s="149"/>
      <c r="S141" s="167" t="n">
        <v>10162.24</v>
      </c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67"/>
      <c r="O142" s="157" t="n">
        <v>4</v>
      </c>
      <c r="P142" s="155" t="n">
        <v>10925</v>
      </c>
      <c r="Q142" s="155" t="n">
        <f aca="false">R142+S142</f>
        <v>0</v>
      </c>
      <c r="R142" s="155"/>
      <c r="S142" s="167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67"/>
      <c r="O143" s="163"/>
      <c r="P143" s="161"/>
      <c r="Q143" s="161" t="n">
        <f aca="false">R143+S143</f>
        <v>0</v>
      </c>
      <c r="R143" s="161"/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57"/>
      <c r="G144" s="152" t="s">
        <v>26</v>
      </c>
      <c r="H144" s="153"/>
      <c r="I144" s="154"/>
      <c r="J144" s="154"/>
      <c r="K144" s="155"/>
      <c r="L144" s="155" t="n">
        <f aca="false">M144+N144</f>
        <v>0</v>
      </c>
      <c r="M144" s="155"/>
      <c r="N144" s="167"/>
      <c r="O144" s="157"/>
      <c r="P144" s="155"/>
      <c r="Q144" s="155" t="n">
        <f aca="false">R144+S144</f>
        <v>0</v>
      </c>
      <c r="R144" s="155"/>
      <c r="S144" s="167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/>
      <c r="I145" s="160"/>
      <c r="J145" s="160"/>
      <c r="K145" s="161"/>
      <c r="L145" s="161" t="n">
        <f aca="false">M145+N145</f>
        <v>0</v>
      </c>
      <c r="M145" s="161"/>
      <c r="N145" s="167"/>
      <c r="O145" s="163" t="n">
        <v>6</v>
      </c>
      <c r="P145" s="161" t="n">
        <v>14967.24</v>
      </c>
      <c r="Q145" s="161" t="n">
        <f aca="false">R145+S145</f>
        <v>14967.24</v>
      </c>
      <c r="R145" s="161" t="n">
        <v>7780.05</v>
      </c>
      <c r="S145" s="167" t="n">
        <v>7187.19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67"/>
      <c r="O146" s="168" t="n">
        <v>6</v>
      </c>
      <c r="P146" s="166" t="n">
        <v>23645.16</v>
      </c>
      <c r="Q146" s="166" t="n">
        <f aca="false">R146+S146</f>
        <v>881</v>
      </c>
      <c r="R146" s="166" t="n">
        <f aca="false">881</f>
        <v>881</v>
      </c>
      <c r="S146" s="167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6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1895.47</v>
      </c>
      <c r="M147" s="149"/>
      <c r="N147" s="167" t="n">
        <v>1895.47</v>
      </c>
      <c r="O147" s="151" t="n">
        <v>16</v>
      </c>
      <c r="P147" s="149" t="n">
        <v>38118.78</v>
      </c>
      <c r="Q147" s="149" t="n">
        <f aca="false">R147+S147</f>
        <v>22194.99</v>
      </c>
      <c r="R147" s="149" t="n">
        <v>3347.8</v>
      </c>
      <c r="S147" s="167" t="n">
        <v>18847.19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8</v>
      </c>
      <c r="I148" s="165" t="n">
        <v>2</v>
      </c>
      <c r="J148" s="165" t="n">
        <v>2</v>
      </c>
      <c r="K148" s="166" t="n">
        <v>13990.28</v>
      </c>
      <c r="L148" s="166" t="n">
        <f aca="false">M148+N148</f>
        <v>0</v>
      </c>
      <c r="M148" s="166"/>
      <c r="N148" s="167"/>
      <c r="O148" s="157" t="n">
        <v>8</v>
      </c>
      <c r="P148" s="155" t="n">
        <v>30218.3</v>
      </c>
      <c r="Q148" s="155" t="n">
        <f aca="false">R148+S148</f>
        <v>15329.4</v>
      </c>
      <c r="R148" s="155" t="n">
        <f aca="false">2643</f>
        <v>2643</v>
      </c>
      <c r="S148" s="167" t="n">
        <v>12686.4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16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9291.07</v>
      </c>
      <c r="M149" s="149" t="n">
        <v>1494.18</v>
      </c>
      <c r="N149" s="167" t="n">
        <v>7796.89</v>
      </c>
      <c r="O149" s="163" t="n">
        <v>12</v>
      </c>
      <c r="P149" s="161" t="n">
        <v>42553.58</v>
      </c>
      <c r="Q149" s="161" t="n">
        <f aca="false">R149+S149</f>
        <v>19724.71</v>
      </c>
      <c r="R149" s="161" t="n">
        <v>8854.81</v>
      </c>
      <c r="S149" s="167" t="n">
        <v>10869.9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26" t="s">
        <v>196</v>
      </c>
      <c r="G150" s="152" t="s">
        <v>26</v>
      </c>
      <c r="H150" s="153" t="n">
        <v>0</v>
      </c>
      <c r="I150" s="154" t="n">
        <v>0</v>
      </c>
      <c r="J150" s="154" t="n">
        <v>0</v>
      </c>
      <c r="K150" s="155"/>
      <c r="L150" s="155" t="n">
        <f aca="false">M150+N150</f>
        <v>0</v>
      </c>
      <c r="M150" s="155"/>
      <c r="N150" s="167"/>
      <c r="O150" s="157"/>
      <c r="P150" s="155"/>
      <c r="Q150" s="155" t="n">
        <f aca="false">R150+S150</f>
        <v>0</v>
      </c>
      <c r="R150" s="155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33"/>
      <c r="B151" s="34" t="s">
        <v>112</v>
      </c>
      <c r="C151" s="35" t="s">
        <v>20</v>
      </c>
      <c r="D151" s="35" t="s">
        <v>197</v>
      </c>
      <c r="E151" s="35" t="s">
        <v>25</v>
      </c>
      <c r="F151" s="36"/>
      <c r="G151" s="146" t="s">
        <v>22</v>
      </c>
      <c r="H151" s="159" t="n">
        <v>6</v>
      </c>
      <c r="I151" s="160" t="n">
        <v>6</v>
      </c>
      <c r="J151" s="160" t="n">
        <v>7</v>
      </c>
      <c r="K151" s="140" t="n">
        <v>23292.74</v>
      </c>
      <c r="L151" s="140" t="n">
        <f aca="false">M151+N151</f>
        <v>9984.81</v>
      </c>
      <c r="M151" s="140" t="n">
        <v>1162.92</v>
      </c>
      <c r="N151" s="167" t="n">
        <v>8821.89</v>
      </c>
      <c r="O151" s="163" t="n">
        <v>4</v>
      </c>
      <c r="P151" s="161" t="n">
        <v>20244.62</v>
      </c>
      <c r="Q151" s="161" t="n">
        <f aca="false">R151+S151</f>
        <v>1198.16</v>
      </c>
      <c r="R151" s="161"/>
      <c r="S151" s="167" t="n">
        <v>1198.16</v>
      </c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33"/>
      <c r="B152" s="34"/>
      <c r="C152" s="34"/>
      <c r="D152" s="34"/>
      <c r="E152" s="34"/>
      <c r="F152" s="26" t="s">
        <v>198</v>
      </c>
      <c r="G152" s="152" t="s">
        <v>26</v>
      </c>
      <c r="H152" s="171" t="n">
        <v>2</v>
      </c>
      <c r="I152" s="165"/>
      <c r="J152" s="165"/>
      <c r="K152" s="166"/>
      <c r="L152" s="166" t="n">
        <f aca="false">M152+N152</f>
        <v>0</v>
      </c>
      <c r="M152" s="166"/>
      <c r="N152" s="167"/>
      <c r="O152" s="168" t="n">
        <v>1</v>
      </c>
      <c r="P152" s="166" t="n">
        <v>2114.4</v>
      </c>
      <c r="Q152" s="166" t="n">
        <f aca="false">R152+S152</f>
        <v>0</v>
      </c>
      <c r="R152" s="166"/>
      <c r="S152" s="167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17"/>
      <c r="B153" s="18" t="s">
        <v>113</v>
      </c>
      <c r="C153" s="19" t="s">
        <v>20</v>
      </c>
      <c r="D153" s="19"/>
      <c r="E153" s="19" t="s">
        <v>31</v>
      </c>
      <c r="F153" s="36"/>
      <c r="G153" s="146" t="s">
        <v>22</v>
      </c>
      <c r="H153" s="159" t="n">
        <v>8</v>
      </c>
      <c r="I153" s="148" t="n">
        <v>3</v>
      </c>
      <c r="J153" s="148" t="n">
        <v>4</v>
      </c>
      <c r="K153" s="149" t="n">
        <v>7903.02</v>
      </c>
      <c r="L153" s="149" t="n">
        <f aca="false">M153+N153</f>
        <v>4858.85</v>
      </c>
      <c r="M153" s="149" t="n">
        <v>4858.85</v>
      </c>
      <c r="N153" s="167"/>
      <c r="O153" s="151" t="n">
        <v>5</v>
      </c>
      <c r="P153" s="149" t="n">
        <v>6770.34</v>
      </c>
      <c r="Q153" s="149" t="n">
        <f aca="false">R153+S153</f>
        <v>3839.24</v>
      </c>
      <c r="R153" s="149" t="n">
        <v>1583.16</v>
      </c>
      <c r="S153" s="167" t="n">
        <v>2256.08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57"/>
      <c r="G154" s="152" t="s">
        <v>26</v>
      </c>
      <c r="H154" s="153"/>
      <c r="I154" s="154"/>
      <c r="J154" s="154"/>
      <c r="K154" s="155"/>
      <c r="L154" s="155" t="n">
        <f aca="false">M154+N154</f>
        <v>0</v>
      </c>
      <c r="M154" s="155"/>
      <c r="N154" s="167"/>
      <c r="O154" s="157"/>
      <c r="P154" s="155"/>
      <c r="Q154" s="155" t="n">
        <f aca="false">R154+S154</f>
        <v>0</v>
      </c>
      <c r="R154" s="155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33"/>
      <c r="B155" s="34" t="s">
        <v>114</v>
      </c>
      <c r="C155" s="35" t="s">
        <v>20</v>
      </c>
      <c r="D155" s="95"/>
      <c r="E155" s="35" t="s">
        <v>25</v>
      </c>
      <c r="F155" s="71"/>
      <c r="G155" s="146" t="s">
        <v>22</v>
      </c>
      <c r="H155" s="169" t="n">
        <v>1</v>
      </c>
      <c r="I155" s="160"/>
      <c r="J155" s="160"/>
      <c r="K155" s="161"/>
      <c r="L155" s="161" t="n">
        <f aca="false">M155+N155</f>
        <v>0</v>
      </c>
      <c r="M155" s="161"/>
      <c r="N155" s="167"/>
      <c r="O155" s="163"/>
      <c r="P155" s="161"/>
      <c r="Q155" s="161" t="n">
        <f aca="false">R155+S155</f>
        <v>0</v>
      </c>
      <c r="R155" s="161"/>
      <c r="S155" s="167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274</v>
      </c>
      <c r="G156" s="164" t="s">
        <v>26</v>
      </c>
      <c r="H156" s="175" t="n">
        <v>2</v>
      </c>
      <c r="I156" s="165" t="n">
        <v>1</v>
      </c>
      <c r="J156" s="165" t="n">
        <v>1</v>
      </c>
      <c r="K156" s="166" t="n">
        <v>2947.54</v>
      </c>
      <c r="L156" s="166" t="n">
        <f aca="false">M156+N156</f>
        <v>0</v>
      </c>
      <c r="M156" s="166"/>
      <c r="N156" s="167"/>
      <c r="O156" s="168"/>
      <c r="P156" s="166"/>
      <c r="Q156" s="166" t="n">
        <f aca="false">R156+S156</f>
        <v>0</v>
      </c>
      <c r="R156" s="166"/>
      <c r="S156" s="167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17"/>
      <c r="B157" s="18" t="s">
        <v>243</v>
      </c>
      <c r="C157" s="219"/>
      <c r="D157" s="19"/>
      <c r="E157" s="19"/>
      <c r="F157" s="20"/>
      <c r="G157" s="146" t="s">
        <v>22</v>
      </c>
      <c r="H157" s="173" t="s">
        <v>151</v>
      </c>
      <c r="I157" s="148"/>
      <c r="J157" s="148"/>
      <c r="K157" s="149"/>
      <c r="L157" s="149" t="n">
        <f aca="false">M157+N157</f>
        <v>0</v>
      </c>
      <c r="M157" s="149"/>
      <c r="N157" s="167"/>
      <c r="O157" s="206"/>
      <c r="P157" s="149"/>
      <c r="Q157" s="149" t="n">
        <f aca="false">R157+S157</f>
        <v>0</v>
      </c>
      <c r="R157" s="149"/>
      <c r="S157" s="167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18"/>
      <c r="C158" s="18"/>
      <c r="D158" s="18"/>
      <c r="E158" s="18"/>
      <c r="F158" s="26" t="s">
        <v>275</v>
      </c>
      <c r="G158" s="152" t="s">
        <v>26</v>
      </c>
      <c r="H158" s="174" t="n">
        <v>4</v>
      </c>
      <c r="I158" s="154" t="n">
        <v>1</v>
      </c>
      <c r="J158" s="154" t="n">
        <v>1</v>
      </c>
      <c r="K158" s="155" t="n">
        <v>528.6</v>
      </c>
      <c r="L158" s="155" t="n">
        <f aca="false">M158+N158</f>
        <v>0</v>
      </c>
      <c r="M158" s="155"/>
      <c r="N158" s="167"/>
      <c r="O158" s="209"/>
      <c r="P158" s="155"/>
      <c r="Q158" s="155" t="n">
        <f aca="false">R158+S158</f>
        <v>0</v>
      </c>
      <c r="R158" s="155"/>
      <c r="S158" s="167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54"/>
      <c r="B159" s="55" t="s">
        <v>200</v>
      </c>
      <c r="C159" s="220"/>
      <c r="D159" s="56"/>
      <c r="E159" s="56"/>
      <c r="F159" s="36"/>
      <c r="G159" s="158" t="s">
        <v>22</v>
      </c>
      <c r="H159" s="159" t="n">
        <v>19</v>
      </c>
      <c r="I159" s="160" t="n">
        <v>12</v>
      </c>
      <c r="J159" s="160" t="n">
        <v>12</v>
      </c>
      <c r="K159" s="161" t="n">
        <v>7016.46</v>
      </c>
      <c r="L159" s="161" t="n">
        <f aca="false">M159+N159</f>
        <v>0</v>
      </c>
      <c r="M159" s="161"/>
      <c r="N159" s="167"/>
      <c r="O159" s="163"/>
      <c r="P159" s="161"/>
      <c r="Q159" s="161" t="n">
        <f aca="false">R159+S159</f>
        <v>0</v>
      </c>
      <c r="R159" s="161"/>
      <c r="S159" s="167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152" t="s">
        <v>26</v>
      </c>
      <c r="H160" s="174" t="n">
        <v>4</v>
      </c>
      <c r="I160" s="154" t="n">
        <v>2</v>
      </c>
      <c r="J160" s="154" t="n">
        <v>2</v>
      </c>
      <c r="K160" s="155" t="n">
        <v>2466.8</v>
      </c>
      <c r="L160" s="155" t="n">
        <f aca="false">M160+N160</f>
        <v>0</v>
      </c>
      <c r="M160" s="155"/>
      <c r="N160" s="167"/>
      <c r="O160" s="157"/>
      <c r="P160" s="155"/>
      <c r="Q160" s="155" t="n">
        <f aca="false">R160+S160</f>
        <v>0</v>
      </c>
      <c r="R160" s="155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115</v>
      </c>
      <c r="C161" s="56" t="s">
        <v>20</v>
      </c>
      <c r="D161" s="56"/>
      <c r="E161" s="56" t="s">
        <v>116</v>
      </c>
      <c r="F161" s="36"/>
      <c r="G161" s="158" t="s">
        <v>22</v>
      </c>
      <c r="H161" s="159" t="n">
        <v>9</v>
      </c>
      <c r="I161" s="160" t="n">
        <v>5</v>
      </c>
      <c r="J161" s="160" t="n">
        <v>5</v>
      </c>
      <c r="K161" s="161" t="n">
        <v>2886.16</v>
      </c>
      <c r="L161" s="161" t="n">
        <f aca="false">M161+N161</f>
        <v>2886.16</v>
      </c>
      <c r="M161" s="161" t="n">
        <v>264.3</v>
      </c>
      <c r="N161" s="167" t="n">
        <v>2621.86</v>
      </c>
      <c r="O161" s="163" t="n">
        <v>11</v>
      </c>
      <c r="P161" s="161" t="n">
        <v>7909.61</v>
      </c>
      <c r="Q161" s="161" t="n">
        <f aca="false">R161+S161</f>
        <v>6775.76</v>
      </c>
      <c r="R161" s="161" t="n">
        <v>4414.68</v>
      </c>
      <c r="S161" s="167" t="n">
        <v>2361.08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42" t="s">
        <v>201</v>
      </c>
      <c r="G162" s="164" t="s">
        <v>26</v>
      </c>
      <c r="H162" s="172" t="n">
        <v>8</v>
      </c>
      <c r="I162" s="165" t="n">
        <v>1</v>
      </c>
      <c r="J162" s="165" t="n">
        <v>1</v>
      </c>
      <c r="K162" s="166" t="n">
        <v>5286</v>
      </c>
      <c r="L162" s="161" t="n">
        <f aca="false">M162+N162</f>
        <v>0</v>
      </c>
      <c r="M162" s="166"/>
      <c r="N162" s="167"/>
      <c r="O162" s="168" t="n">
        <v>8</v>
      </c>
      <c r="P162" s="166" t="n">
        <v>881</v>
      </c>
      <c r="Q162" s="166" t="n">
        <f aca="false">R162+S162</f>
        <v>881</v>
      </c>
      <c r="R162" s="166" t="n">
        <f aca="false">881</f>
        <v>881</v>
      </c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true" outlineLevel="0" collapsed="false">
      <c r="A163" s="17"/>
      <c r="B163" s="18" t="s">
        <v>157</v>
      </c>
      <c r="C163" s="19"/>
      <c r="D163" s="19"/>
      <c r="E163" s="127"/>
      <c r="F163" s="22"/>
      <c r="G163" s="146" t="s">
        <v>22</v>
      </c>
      <c r="H163" s="147" t="n">
        <v>3</v>
      </c>
      <c r="I163" s="148" t="n">
        <v>1</v>
      </c>
      <c r="J163" s="148" t="n">
        <v>1</v>
      </c>
      <c r="K163" s="149" t="n">
        <v>3876.4</v>
      </c>
      <c r="L163" s="149" t="n">
        <f aca="false">M163+N163</f>
        <v>0</v>
      </c>
      <c r="M163" s="149"/>
      <c r="N163" s="167"/>
      <c r="O163" s="151"/>
      <c r="P163" s="149"/>
      <c r="Q163" s="149" t="n">
        <f aca="false">R163+S163</f>
        <v>0</v>
      </c>
      <c r="R163" s="149"/>
      <c r="S163" s="167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" hidden="false" customHeight="false" outlineLevel="0" collapsed="false">
      <c r="A164" s="17"/>
      <c r="B164" s="18"/>
      <c r="C164" s="18"/>
      <c r="D164" s="18"/>
      <c r="E164" s="127"/>
      <c r="F164" s="26" t="s">
        <v>202</v>
      </c>
      <c r="G164" s="152" t="s">
        <v>26</v>
      </c>
      <c r="H164" s="176" t="n">
        <v>1</v>
      </c>
      <c r="I164" s="154"/>
      <c r="J164" s="154"/>
      <c r="K164" s="155"/>
      <c r="L164" s="155" t="n">
        <f aca="false">M164+N164</f>
        <v>0</v>
      </c>
      <c r="M164" s="155"/>
      <c r="N164" s="167"/>
      <c r="O164" s="157"/>
      <c r="P164" s="155"/>
      <c r="Q164" s="155" t="n">
        <f aca="false">R164+S164</f>
        <v>1762</v>
      </c>
      <c r="R164" s="155"/>
      <c r="S164" s="167" t="n">
        <v>1762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33"/>
      <c r="B165" s="34" t="s">
        <v>117</v>
      </c>
      <c r="C165" s="35" t="s">
        <v>33</v>
      </c>
      <c r="D165" s="35" t="s">
        <v>118</v>
      </c>
      <c r="E165" s="74" t="s">
        <v>25</v>
      </c>
      <c r="F165" s="89"/>
      <c r="G165" s="158" t="s">
        <v>22</v>
      </c>
      <c r="H165" s="169"/>
      <c r="I165" s="160"/>
      <c r="J165" s="160"/>
      <c r="K165" s="161"/>
      <c r="L165" s="161" t="n">
        <f aca="false">M165+N165</f>
        <v>0</v>
      </c>
      <c r="M165" s="161"/>
      <c r="N165" s="167"/>
      <c r="O165" s="163"/>
      <c r="P165" s="161"/>
      <c r="Q165" s="161" t="n">
        <f aca="false">R165+S165</f>
        <v>0</v>
      </c>
      <c r="R165" s="161"/>
      <c r="S165" s="167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33"/>
      <c r="B166" s="34"/>
      <c r="C166" s="34"/>
      <c r="D166" s="34"/>
      <c r="E166" s="34"/>
      <c r="F166" s="42"/>
      <c r="G166" s="158" t="s">
        <v>23</v>
      </c>
      <c r="H166" s="169"/>
      <c r="I166" s="160"/>
      <c r="J166" s="160"/>
      <c r="K166" s="161"/>
      <c r="L166" s="161" t="n">
        <f aca="false">M166+N166</f>
        <v>0</v>
      </c>
      <c r="M166" s="161"/>
      <c r="N166" s="167"/>
      <c r="O166" s="163"/>
      <c r="P166" s="161"/>
      <c r="Q166" s="161" t="n">
        <f aca="false">R166+S166</f>
        <v>0</v>
      </c>
      <c r="R166" s="161"/>
      <c r="S166" s="167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false" outlineLevel="0" collapsed="false">
      <c r="A167" s="33"/>
      <c r="B167" s="34"/>
      <c r="C167" s="34"/>
      <c r="D167" s="34"/>
      <c r="E167" s="34"/>
      <c r="F167" s="42"/>
      <c r="G167" s="164" t="s">
        <v>26</v>
      </c>
      <c r="H167" s="153"/>
      <c r="I167" s="165"/>
      <c r="J167" s="165"/>
      <c r="K167" s="166"/>
      <c r="L167" s="166" t="n">
        <f aca="false">M167+N167</f>
        <v>0</v>
      </c>
      <c r="M167" s="166"/>
      <c r="N167" s="167"/>
      <c r="O167" s="168" t="n">
        <v>5</v>
      </c>
      <c r="P167" s="166" t="n">
        <v>4845.5</v>
      </c>
      <c r="Q167" s="166" t="n">
        <f aca="false">R167+S167</f>
        <v>0</v>
      </c>
      <c r="R167" s="166"/>
      <c r="S167" s="167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true" outlineLevel="0" collapsed="false">
      <c r="A168" s="17"/>
      <c r="B168" s="18" t="s">
        <v>119</v>
      </c>
      <c r="C168" s="19" t="s">
        <v>20</v>
      </c>
      <c r="D168" s="19"/>
      <c r="E168" s="19" t="s">
        <v>25</v>
      </c>
      <c r="F168" s="20"/>
      <c r="G168" s="146" t="s">
        <v>22</v>
      </c>
      <c r="H168" s="169"/>
      <c r="I168" s="148"/>
      <c r="J168" s="148"/>
      <c r="K168" s="149"/>
      <c r="L168" s="149" t="n">
        <f aca="false">M168+N168</f>
        <v>0</v>
      </c>
      <c r="M168" s="149"/>
      <c r="N168" s="167"/>
      <c r="O168" s="151" t="n">
        <v>2</v>
      </c>
      <c r="P168" s="149" t="n">
        <v>2643</v>
      </c>
      <c r="Q168" s="149" t="n">
        <f aca="false">R168+S168</f>
        <v>2643</v>
      </c>
      <c r="R168" s="149"/>
      <c r="S168" s="167" t="n">
        <v>2643</v>
      </c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/>
      <c r="C169" s="18"/>
      <c r="D169" s="18"/>
      <c r="E169" s="18"/>
      <c r="F169" s="42" t="s">
        <v>203</v>
      </c>
      <c r="G169" s="164" t="s">
        <v>26</v>
      </c>
      <c r="H169" s="175" t="n">
        <v>3</v>
      </c>
      <c r="I169" s="165" t="n">
        <v>1</v>
      </c>
      <c r="J169" s="165" t="n">
        <v>1</v>
      </c>
      <c r="K169" s="166" t="n">
        <v>704.8</v>
      </c>
      <c r="L169" s="166" t="n">
        <f aca="false">M169+N169</f>
        <v>0</v>
      </c>
      <c r="M169" s="166" t="n">
        <v>0</v>
      </c>
      <c r="N169" s="167"/>
      <c r="O169" s="168" t="s">
        <v>276</v>
      </c>
      <c r="P169" s="166" t="n">
        <v>3524</v>
      </c>
      <c r="Q169" s="166" t="n">
        <f aca="false">R169+S169</f>
        <v>881</v>
      </c>
      <c r="R169" s="166" t="n">
        <f aca="false">881</f>
        <v>881</v>
      </c>
      <c r="S169" s="167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225</v>
      </c>
      <c r="C170" s="19"/>
      <c r="D170" s="19"/>
      <c r="E170" s="19"/>
      <c r="F170" s="20"/>
      <c r="G170" s="146" t="s">
        <v>22</v>
      </c>
      <c r="H170" s="147"/>
      <c r="I170" s="148"/>
      <c r="J170" s="148"/>
      <c r="K170" s="149"/>
      <c r="L170" s="149" t="n">
        <f aca="false">M170+N170</f>
        <v>0</v>
      </c>
      <c r="M170" s="149"/>
      <c r="N170" s="167"/>
      <c r="O170" s="151"/>
      <c r="P170" s="149"/>
      <c r="Q170" s="149" t="n">
        <f aca="false">R170+S170</f>
        <v>0</v>
      </c>
      <c r="R170" s="149"/>
      <c r="S170" s="167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false" outlineLevel="0" collapsed="false">
      <c r="A171" s="17"/>
      <c r="B171" s="18"/>
      <c r="C171" s="18"/>
      <c r="D171" s="18"/>
      <c r="E171" s="18"/>
      <c r="F171" s="26" t="s">
        <v>244</v>
      </c>
      <c r="G171" s="152" t="s">
        <v>23</v>
      </c>
      <c r="H171" s="176" t="n">
        <v>11</v>
      </c>
      <c r="I171" s="154"/>
      <c r="J171" s="154"/>
      <c r="K171" s="155"/>
      <c r="L171" s="155" t="n">
        <f aca="false">M171+N171</f>
        <v>0</v>
      </c>
      <c r="M171" s="155"/>
      <c r="N171" s="167"/>
      <c r="O171" s="157"/>
      <c r="P171" s="155"/>
      <c r="Q171" s="155" t="n">
        <f aca="false">R171+S171</f>
        <v>0</v>
      </c>
      <c r="R171" s="155"/>
      <c r="S171" s="167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54"/>
      <c r="B172" s="55" t="s">
        <v>120</v>
      </c>
      <c r="C172" s="56" t="s">
        <v>20</v>
      </c>
      <c r="D172" s="56"/>
      <c r="E172" s="56" t="s">
        <v>25</v>
      </c>
      <c r="F172" s="36"/>
      <c r="G172" s="158" t="s">
        <v>22</v>
      </c>
      <c r="H172" s="169"/>
      <c r="I172" s="160"/>
      <c r="J172" s="160"/>
      <c r="K172" s="161"/>
      <c r="L172" s="161" t="n">
        <f aca="false">M172+N172</f>
        <v>0</v>
      </c>
      <c r="M172" s="161"/>
      <c r="N172" s="167"/>
      <c r="O172" s="163" t="n">
        <v>3</v>
      </c>
      <c r="P172" s="161" t="n">
        <v>3063.78</v>
      </c>
      <c r="Q172" s="161" t="n">
        <f aca="false">R172+S172</f>
        <v>3063.78</v>
      </c>
      <c r="R172" s="161" t="n">
        <v>3063.78</v>
      </c>
      <c r="S172" s="167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/>
      <c r="C173" s="55"/>
      <c r="D173" s="55"/>
      <c r="E173" s="55"/>
      <c r="F173" s="71"/>
      <c r="G173" s="164" t="s">
        <v>26</v>
      </c>
      <c r="H173" s="175"/>
      <c r="I173" s="165"/>
      <c r="J173" s="165"/>
      <c r="K173" s="166"/>
      <c r="L173" s="166" t="n">
        <f aca="false">M173+N173</f>
        <v>0</v>
      </c>
      <c r="M173" s="166"/>
      <c r="N173" s="167"/>
      <c r="O173" s="168"/>
      <c r="P173" s="166"/>
      <c r="Q173" s="166" t="n">
        <f aca="false">R173+S173</f>
        <v>0</v>
      </c>
      <c r="R173" s="166"/>
      <c r="S173" s="167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72"/>
      <c r="B174" s="18" t="s">
        <v>158</v>
      </c>
      <c r="C174" s="74"/>
      <c r="D174" s="56" t="s">
        <v>204</v>
      </c>
      <c r="E174" s="74"/>
      <c r="F174" s="53"/>
      <c r="G174" s="146" t="s">
        <v>22</v>
      </c>
      <c r="H174" s="195"/>
      <c r="I174" s="196"/>
      <c r="J174" s="196"/>
      <c r="K174" s="197"/>
      <c r="L174" s="197" t="n">
        <f aca="false">M174+N174</f>
        <v>0</v>
      </c>
      <c r="M174" s="197"/>
      <c r="N174" s="167"/>
      <c r="O174" s="199"/>
      <c r="P174" s="197"/>
      <c r="Q174" s="197" t="n">
        <f aca="false">R174+S174</f>
        <v>0</v>
      </c>
      <c r="R174" s="197"/>
      <c r="S174" s="167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false" outlineLevel="0" collapsed="false">
      <c r="A175" s="54"/>
      <c r="B175" s="18"/>
      <c r="C175" s="56"/>
      <c r="D175" s="56"/>
      <c r="E175" s="56"/>
      <c r="F175" s="138" t="s">
        <v>205</v>
      </c>
      <c r="G175" s="152" t="s">
        <v>26</v>
      </c>
      <c r="H175" s="153" t="n">
        <v>3</v>
      </c>
      <c r="I175" s="200"/>
      <c r="J175" s="200"/>
      <c r="K175" s="201"/>
      <c r="L175" s="201" t="n">
        <f aca="false">M175+N175</f>
        <v>0</v>
      </c>
      <c r="M175" s="201"/>
      <c r="N175" s="167"/>
      <c r="O175" s="203"/>
      <c r="P175" s="201"/>
      <c r="Q175" s="201" t="n">
        <f aca="false">R175+S175</f>
        <v>0</v>
      </c>
      <c r="R175" s="201"/>
      <c r="S175" s="167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33"/>
      <c r="B176" s="34" t="s">
        <v>152</v>
      </c>
      <c r="C176" s="35" t="s">
        <v>20</v>
      </c>
      <c r="D176" s="35"/>
      <c r="E176" s="35" t="s">
        <v>25</v>
      </c>
      <c r="F176" s="36"/>
      <c r="G176" s="158" t="s">
        <v>22</v>
      </c>
      <c r="H176" s="169"/>
      <c r="I176" s="160"/>
      <c r="J176" s="160"/>
      <c r="K176" s="161"/>
      <c r="L176" s="161" t="n">
        <f aca="false">M176+N176</f>
        <v>0</v>
      </c>
      <c r="M176" s="161"/>
      <c r="N176" s="167"/>
      <c r="O176" s="163" t="n">
        <v>1</v>
      </c>
      <c r="P176" s="161" t="n">
        <v>2819.2</v>
      </c>
      <c r="Q176" s="161" t="n">
        <f aca="false">R176+S176</f>
        <v>2819.2</v>
      </c>
      <c r="R176" s="161"/>
      <c r="S176" s="167" t="n">
        <v>2819.2</v>
      </c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33"/>
      <c r="B177" s="34"/>
      <c r="C177" s="34"/>
      <c r="D177" s="34"/>
      <c r="E177" s="34"/>
      <c r="F177" s="42" t="s">
        <v>206</v>
      </c>
      <c r="G177" s="164" t="s">
        <v>26</v>
      </c>
      <c r="H177" s="171" t="n">
        <v>4</v>
      </c>
      <c r="I177" s="165"/>
      <c r="J177" s="165"/>
      <c r="K177" s="166"/>
      <c r="L177" s="166" t="n">
        <v>0</v>
      </c>
      <c r="M177" s="166" t="n">
        <v>0</v>
      </c>
      <c r="N177" s="167"/>
      <c r="O177" s="168" t="n">
        <v>3</v>
      </c>
      <c r="P177" s="166" t="n">
        <v>5814.6</v>
      </c>
      <c r="Q177" s="161" t="n">
        <f aca="false">R177+S177</f>
        <v>2731.1</v>
      </c>
      <c r="R177" s="166" t="n">
        <f aca="false">1145.3</f>
        <v>1145.3</v>
      </c>
      <c r="S177" s="167" t="n">
        <v>1585.8</v>
      </c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17"/>
      <c r="B178" s="18" t="s">
        <v>122</v>
      </c>
      <c r="C178" s="19" t="s">
        <v>20</v>
      </c>
      <c r="D178" s="19"/>
      <c r="E178" s="19" t="s">
        <v>116</v>
      </c>
      <c r="F178" s="20"/>
      <c r="G178" s="146" t="s">
        <v>22</v>
      </c>
      <c r="H178" s="159" t="n">
        <v>20</v>
      </c>
      <c r="I178" s="148" t="n">
        <v>17</v>
      </c>
      <c r="J178" s="148" t="n">
        <v>19</v>
      </c>
      <c r="K178" s="149" t="n">
        <v>28868.62</v>
      </c>
      <c r="L178" s="149" t="n">
        <f aca="false">M178+N178</f>
        <v>11563.14</v>
      </c>
      <c r="M178" s="149" t="n">
        <v>3607.7</v>
      </c>
      <c r="N178" s="167" t="n">
        <v>7955.44</v>
      </c>
      <c r="O178" s="151" t="n">
        <v>24</v>
      </c>
      <c r="P178" s="149" t="n">
        <v>61568.09</v>
      </c>
      <c r="Q178" s="149" t="n">
        <f aca="false">R178+S178</f>
        <v>38935.35</v>
      </c>
      <c r="R178" s="149" t="n">
        <v>12768.32</v>
      </c>
      <c r="S178" s="167" t="n">
        <v>26167.03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17"/>
      <c r="B179" s="18"/>
      <c r="C179" s="18"/>
      <c r="D179" s="18"/>
      <c r="E179" s="18"/>
      <c r="F179" s="57"/>
      <c r="G179" s="152" t="s">
        <v>26</v>
      </c>
      <c r="H179" s="153"/>
      <c r="I179" s="154"/>
      <c r="J179" s="154"/>
      <c r="K179" s="155"/>
      <c r="L179" s="155" t="n">
        <f aca="false">M179+N179</f>
        <v>0</v>
      </c>
      <c r="M179" s="155"/>
      <c r="N179" s="167"/>
      <c r="O179" s="157"/>
      <c r="P179" s="155"/>
      <c r="Q179" s="155" t="n">
        <f aca="false">R179+S179</f>
        <v>0</v>
      </c>
      <c r="R179" s="155"/>
      <c r="S179" s="167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.75" hidden="false" customHeight="true" outlineLevel="0" collapsed="false">
      <c r="A180" s="33"/>
      <c r="B180" s="34" t="s">
        <v>123</v>
      </c>
      <c r="C180" s="35" t="s">
        <v>20</v>
      </c>
      <c r="D180" s="35"/>
      <c r="E180" s="35" t="s">
        <v>25</v>
      </c>
      <c r="F180" s="36"/>
      <c r="G180" s="146" t="s">
        <v>22</v>
      </c>
      <c r="H180" s="159" t="n">
        <v>3</v>
      </c>
      <c r="I180" s="160" t="n">
        <v>2</v>
      </c>
      <c r="J180" s="160" t="n">
        <v>2</v>
      </c>
      <c r="K180" s="161" t="n">
        <v>881</v>
      </c>
      <c r="L180" s="161" t="n">
        <f aca="false">M180+N180</f>
        <v>881</v>
      </c>
      <c r="M180" s="161" t="n">
        <v>881</v>
      </c>
      <c r="N180" s="167"/>
      <c r="O180" s="163" t="n">
        <v>6</v>
      </c>
      <c r="P180" s="161" t="n">
        <v>10868.41</v>
      </c>
      <c r="Q180" s="161" t="n">
        <f aca="false">R180+S180</f>
        <v>10269.33</v>
      </c>
      <c r="R180" s="161" t="n">
        <v>6930.62</v>
      </c>
      <c r="S180" s="167" t="n">
        <v>3338.71</v>
      </c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33"/>
      <c r="B181" s="34"/>
      <c r="C181" s="34"/>
      <c r="D181" s="34"/>
      <c r="E181" s="34"/>
      <c r="F181" s="42" t="s">
        <v>207</v>
      </c>
      <c r="G181" s="164" t="s">
        <v>26</v>
      </c>
      <c r="H181" s="153" t="n">
        <v>1</v>
      </c>
      <c r="I181" s="165"/>
      <c r="J181" s="165"/>
      <c r="K181" s="166"/>
      <c r="L181" s="161" t="n">
        <f aca="false">M181+N181</f>
        <v>0</v>
      </c>
      <c r="M181" s="166" t="n">
        <v>0</v>
      </c>
      <c r="N181" s="167"/>
      <c r="O181" s="168" t="n">
        <v>1</v>
      </c>
      <c r="P181" s="166"/>
      <c r="Q181" s="166" t="n">
        <f aca="false">R181+S181</f>
        <v>881</v>
      </c>
      <c r="R181" s="166" t="n">
        <f aca="false">881</f>
        <v>881</v>
      </c>
      <c r="S181" s="167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17"/>
      <c r="B182" s="18" t="s">
        <v>124</v>
      </c>
      <c r="C182" s="19" t="s">
        <v>20</v>
      </c>
      <c r="D182" s="19"/>
      <c r="E182" s="19" t="s">
        <v>88</v>
      </c>
      <c r="F182" s="20"/>
      <c r="G182" s="146" t="s">
        <v>22</v>
      </c>
      <c r="H182" s="159" t="n">
        <v>6</v>
      </c>
      <c r="I182" s="148" t="n">
        <v>2</v>
      </c>
      <c r="J182" s="148" t="n">
        <v>2</v>
      </c>
      <c r="K182" s="149" t="n">
        <v>5272.09</v>
      </c>
      <c r="L182" s="149" t="n">
        <f aca="false">M182+N182</f>
        <v>0</v>
      </c>
      <c r="M182" s="149"/>
      <c r="N182" s="167"/>
      <c r="O182" s="151" t="n">
        <v>6</v>
      </c>
      <c r="P182" s="149" t="n">
        <v>16237.42</v>
      </c>
      <c r="Q182" s="149" t="n">
        <f aca="false">R182+S182</f>
        <v>14475.42</v>
      </c>
      <c r="R182" s="149" t="n">
        <v>14475.42</v>
      </c>
      <c r="S182" s="167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245</v>
      </c>
      <c r="G183" s="164" t="s">
        <v>23</v>
      </c>
      <c r="H183" s="172" t="n">
        <v>7</v>
      </c>
      <c r="I183" s="165"/>
      <c r="J183" s="165"/>
      <c r="K183" s="166"/>
      <c r="L183" s="166" t="n">
        <v>0</v>
      </c>
      <c r="M183" s="166"/>
      <c r="N183" s="167"/>
      <c r="O183" s="168" t="n">
        <v>2</v>
      </c>
      <c r="P183" s="166" t="n">
        <v>3976.4</v>
      </c>
      <c r="Q183" s="166" t="n">
        <v>3976.4</v>
      </c>
      <c r="R183" s="166" t="n">
        <v>3976.4</v>
      </c>
      <c r="S183" s="167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208</v>
      </c>
      <c r="C184" s="19"/>
      <c r="D184" s="19"/>
      <c r="E184" s="127"/>
      <c r="F184" s="20"/>
      <c r="G184" s="146" t="s">
        <v>22</v>
      </c>
      <c r="H184" s="173" t="n">
        <v>12</v>
      </c>
      <c r="I184" s="148" t="n">
        <v>3</v>
      </c>
      <c r="J184" s="148" t="n">
        <v>3</v>
      </c>
      <c r="K184" s="149" t="n">
        <v>3728.39</v>
      </c>
      <c r="L184" s="149" t="n">
        <f aca="false">M184+N184</f>
        <v>0</v>
      </c>
      <c r="M184" s="149"/>
      <c r="N184" s="167"/>
      <c r="O184" s="151"/>
      <c r="P184" s="149"/>
      <c r="Q184" s="149" t="n">
        <f aca="false">R184+S184</f>
        <v>0</v>
      </c>
      <c r="R184" s="149"/>
      <c r="S184" s="167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28"/>
      <c r="F185" s="26" t="s">
        <v>246</v>
      </c>
      <c r="G185" s="152" t="s">
        <v>23</v>
      </c>
      <c r="H185" s="174" t="n">
        <v>6</v>
      </c>
      <c r="I185" s="154"/>
      <c r="J185" s="154"/>
      <c r="K185" s="155"/>
      <c r="L185" s="155" t="n">
        <f aca="false">M185+N185</f>
        <v>0</v>
      </c>
      <c r="M185" s="155"/>
      <c r="N185" s="167"/>
      <c r="O185" s="157"/>
      <c r="P185" s="155"/>
      <c r="Q185" s="155" t="n">
        <f aca="false">R185+S185</f>
        <v>0</v>
      </c>
      <c r="R185" s="155"/>
      <c r="S185" s="167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125</v>
      </c>
      <c r="C186" s="35" t="s">
        <v>33</v>
      </c>
      <c r="D186" s="35" t="s">
        <v>126</v>
      </c>
      <c r="E186" s="35" t="s">
        <v>127</v>
      </c>
      <c r="F186" s="36"/>
      <c r="G186" s="158" t="s">
        <v>22</v>
      </c>
      <c r="H186" s="159" t="n">
        <v>8</v>
      </c>
      <c r="I186" s="160" t="n">
        <v>3</v>
      </c>
      <c r="J186" s="160" t="n">
        <v>4</v>
      </c>
      <c r="K186" s="161" t="n">
        <v>5845.96</v>
      </c>
      <c r="L186" s="161" t="n">
        <f aca="false">M186+N186</f>
        <v>2128.14</v>
      </c>
      <c r="M186" s="161"/>
      <c r="N186" s="167" t="n">
        <v>2128.14</v>
      </c>
      <c r="O186" s="163" t="n">
        <v>12</v>
      </c>
      <c r="P186" s="161" t="n">
        <v>24224.96</v>
      </c>
      <c r="Q186" s="161" t="n">
        <f aca="false">R186+S186</f>
        <v>15275.34</v>
      </c>
      <c r="R186" s="161" t="n">
        <v>11500.86</v>
      </c>
      <c r="S186" s="167" t="n">
        <v>3774.48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/>
      <c r="G187" s="164" t="s">
        <v>23</v>
      </c>
      <c r="H187" s="171" t="n">
        <v>29</v>
      </c>
      <c r="I187" s="165" t="n">
        <v>4</v>
      </c>
      <c r="J187" s="165" t="n">
        <v>4</v>
      </c>
      <c r="K187" s="166" t="n">
        <v>8457.6</v>
      </c>
      <c r="L187" s="166" t="n">
        <v>2995.4</v>
      </c>
      <c r="M187" s="166" t="n">
        <v>1938.2</v>
      </c>
      <c r="N187" s="167" t="n">
        <v>1057.2</v>
      </c>
      <c r="O187" s="168" t="n">
        <v>13</v>
      </c>
      <c r="P187" s="166" t="n">
        <v>34485.64</v>
      </c>
      <c r="Q187" s="166" t="n">
        <v>4581.2</v>
      </c>
      <c r="R187" s="166" t="n">
        <v>1409.6</v>
      </c>
      <c r="S187" s="167" t="n">
        <v>3171.6</v>
      </c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17"/>
      <c r="B188" s="18" t="s">
        <v>128</v>
      </c>
      <c r="C188" s="19" t="s">
        <v>20</v>
      </c>
      <c r="D188" s="19"/>
      <c r="E188" s="19" t="s">
        <v>25</v>
      </c>
      <c r="F188" s="20"/>
      <c r="G188" s="146" t="s">
        <v>22</v>
      </c>
      <c r="H188" s="159" t="n">
        <v>15</v>
      </c>
      <c r="I188" s="148" t="n">
        <v>10</v>
      </c>
      <c r="J188" s="148" t="n">
        <v>10</v>
      </c>
      <c r="K188" s="149" t="n">
        <v>10868.49</v>
      </c>
      <c r="L188" s="149" t="n">
        <f aca="false">M188+N188</f>
        <v>5465.9</v>
      </c>
      <c r="M188" s="149" t="n">
        <v>1708.7</v>
      </c>
      <c r="N188" s="167" t="n">
        <v>3757.2</v>
      </c>
      <c r="O188" s="151" t="n">
        <v>13</v>
      </c>
      <c r="P188" s="149" t="n">
        <v>41633.72</v>
      </c>
      <c r="Q188" s="149" t="n">
        <f aca="false">R188+S188</f>
        <v>7845.45</v>
      </c>
      <c r="R188" s="149" t="n">
        <v>5312.27</v>
      </c>
      <c r="S188" s="167" t="n">
        <v>2533.18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71"/>
      <c r="G189" s="164" t="s">
        <v>26</v>
      </c>
      <c r="H189" s="175"/>
      <c r="I189" s="165"/>
      <c r="J189" s="165"/>
      <c r="K189" s="166"/>
      <c r="L189" s="166" t="n">
        <f aca="false">M189+N189</f>
        <v>0</v>
      </c>
      <c r="M189" s="166"/>
      <c r="N189" s="167"/>
      <c r="O189" s="168"/>
      <c r="P189" s="166"/>
      <c r="Q189" s="166" t="n">
        <f aca="false">R189+S189</f>
        <v>0</v>
      </c>
      <c r="R189" s="166"/>
      <c r="S189" s="167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227</v>
      </c>
      <c r="C190" s="19"/>
      <c r="D190" s="19"/>
      <c r="E190" s="19"/>
      <c r="F190" s="20"/>
      <c r="G190" s="204" t="s">
        <v>22</v>
      </c>
      <c r="H190" s="173" t="n">
        <v>2</v>
      </c>
      <c r="I190" s="148"/>
      <c r="J190" s="148"/>
      <c r="K190" s="149"/>
      <c r="L190" s="149" t="n">
        <f aca="false">M190+N190</f>
        <v>0</v>
      </c>
      <c r="M190" s="149"/>
      <c r="N190" s="167"/>
      <c r="O190" s="206"/>
      <c r="P190" s="149"/>
      <c r="Q190" s="149" t="n">
        <f aca="false">R190+S190</f>
        <v>0</v>
      </c>
      <c r="R190" s="149"/>
      <c r="S190" s="167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207" t="s">
        <v>26</v>
      </c>
      <c r="H191" s="174"/>
      <c r="I191" s="154"/>
      <c r="J191" s="154"/>
      <c r="K191" s="155"/>
      <c r="L191" s="155" t="n">
        <f aca="false">M191+N191</f>
        <v>0</v>
      </c>
      <c r="M191" s="155"/>
      <c r="N191" s="167"/>
      <c r="O191" s="209"/>
      <c r="P191" s="155"/>
      <c r="Q191" s="155" t="n">
        <f aca="false">R191+S191</f>
        <v>0</v>
      </c>
      <c r="R191" s="155"/>
      <c r="S191" s="167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129</v>
      </c>
      <c r="C192" s="35" t="s">
        <v>38</v>
      </c>
      <c r="D192" s="35" t="s">
        <v>130</v>
      </c>
      <c r="E192" s="35" t="s">
        <v>25</v>
      </c>
      <c r="F192" s="36"/>
      <c r="G192" s="158" t="s">
        <v>22</v>
      </c>
      <c r="H192" s="159" t="n">
        <v>9</v>
      </c>
      <c r="I192" s="160" t="n">
        <v>5</v>
      </c>
      <c r="J192" s="160" t="n">
        <v>5</v>
      </c>
      <c r="K192" s="161" t="n">
        <v>3147.73</v>
      </c>
      <c r="L192" s="161" t="n">
        <f aca="false">M192+N192</f>
        <v>3147.73</v>
      </c>
      <c r="M192" s="161"/>
      <c r="N192" s="167" t="n">
        <v>3147.73</v>
      </c>
      <c r="O192" s="163" t="n">
        <v>3</v>
      </c>
      <c r="P192" s="161" t="n">
        <v>55205.85</v>
      </c>
      <c r="Q192" s="161" t="n">
        <f aca="false">R192+S192</f>
        <v>44463.45</v>
      </c>
      <c r="R192" s="161"/>
      <c r="S192" s="167" t="n">
        <v>44463.45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209</v>
      </c>
      <c r="G193" s="164" t="s">
        <v>26</v>
      </c>
      <c r="H193" s="153" t="n">
        <v>3</v>
      </c>
      <c r="I193" s="165"/>
      <c r="J193" s="165"/>
      <c r="K193" s="166"/>
      <c r="L193" s="161" t="n">
        <f aca="false">M193+N193</f>
        <v>0</v>
      </c>
      <c r="M193" s="166" t="n">
        <v>0</v>
      </c>
      <c r="N193" s="167"/>
      <c r="O193" s="168" t="n">
        <v>7</v>
      </c>
      <c r="P193" s="166" t="n">
        <v>20590.6</v>
      </c>
      <c r="Q193" s="166" t="n">
        <f aca="false">R193+S193</f>
        <v>1762</v>
      </c>
      <c r="R193" s="166" t="n">
        <f aca="false">881+881</f>
        <v>1762</v>
      </c>
      <c r="S193" s="167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6.5" hidden="false" customHeight="true" outlineLevel="0" collapsed="false">
      <c r="A194" s="17"/>
      <c r="B194" s="18" t="s">
        <v>131</v>
      </c>
      <c r="C194" s="19" t="s">
        <v>38</v>
      </c>
      <c r="D194" s="19" t="s">
        <v>130</v>
      </c>
      <c r="E194" s="19" t="s">
        <v>25</v>
      </c>
      <c r="F194" s="20"/>
      <c r="G194" s="146" t="s">
        <v>22</v>
      </c>
      <c r="H194" s="159" t="n">
        <v>8</v>
      </c>
      <c r="I194" s="148" t="n">
        <v>7</v>
      </c>
      <c r="J194" s="148" t="n">
        <v>10</v>
      </c>
      <c r="K194" s="149" t="n">
        <v>24674.6</v>
      </c>
      <c r="L194" s="149" t="n">
        <f aca="false">M194+N194</f>
        <v>13633.47</v>
      </c>
      <c r="M194" s="149" t="n">
        <v>5349.43</v>
      </c>
      <c r="N194" s="167" t="n">
        <v>8284.04</v>
      </c>
      <c r="O194" s="151" t="n">
        <v>14</v>
      </c>
      <c r="P194" s="149" t="n">
        <v>65810.62</v>
      </c>
      <c r="Q194" s="149" t="n">
        <f aca="false">R194+S194</f>
        <v>55278.65</v>
      </c>
      <c r="R194" s="149" t="n">
        <v>1920.58</v>
      </c>
      <c r="S194" s="167" t="n">
        <v>53358.07</v>
      </c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6.5" hidden="false" customHeight="true" outlineLevel="0" collapsed="false">
      <c r="A195" s="17"/>
      <c r="B195" s="18"/>
      <c r="C195" s="18"/>
      <c r="D195" s="18"/>
      <c r="E195" s="18"/>
      <c r="F195" s="26" t="s">
        <v>210</v>
      </c>
      <c r="G195" s="152" t="s">
        <v>26</v>
      </c>
      <c r="H195" s="153" t="n">
        <v>2</v>
      </c>
      <c r="I195" s="154" t="n">
        <v>2</v>
      </c>
      <c r="J195" s="154" t="n">
        <v>2</v>
      </c>
      <c r="K195" s="155" t="n">
        <v>1585.8</v>
      </c>
      <c r="L195" s="155" t="n">
        <f aca="false">M195+N195</f>
        <v>0</v>
      </c>
      <c r="M195" s="155"/>
      <c r="N195" s="167"/>
      <c r="O195" s="157"/>
      <c r="P195" s="155"/>
      <c r="Q195" s="155" t="n">
        <f aca="false">R195+S195</f>
        <v>0</v>
      </c>
      <c r="R195" s="155"/>
      <c r="S195" s="167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33"/>
      <c r="B196" s="34" t="s">
        <v>132</v>
      </c>
      <c r="C196" s="35" t="s">
        <v>20</v>
      </c>
      <c r="D196" s="35"/>
      <c r="E196" s="35" t="s">
        <v>69</v>
      </c>
      <c r="F196" s="38"/>
      <c r="G196" s="146" t="s">
        <v>22</v>
      </c>
      <c r="H196" s="159" t="n">
        <v>8</v>
      </c>
      <c r="I196" s="160" t="n">
        <v>6</v>
      </c>
      <c r="J196" s="160" t="n">
        <v>8</v>
      </c>
      <c r="K196" s="161" t="n">
        <v>17601.94</v>
      </c>
      <c r="L196" s="161" t="n">
        <f aca="false">M196+N196</f>
        <v>1973.48</v>
      </c>
      <c r="M196" s="161" t="n">
        <v>1973.48</v>
      </c>
      <c r="N196" s="167"/>
      <c r="O196" s="163" t="n">
        <v>11</v>
      </c>
      <c r="P196" s="161" t="n">
        <v>34976.18</v>
      </c>
      <c r="Q196" s="161" t="n">
        <f aca="false">R196+S196</f>
        <v>28827.93</v>
      </c>
      <c r="R196" s="161" t="n">
        <v>28827.93</v>
      </c>
      <c r="S196" s="167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33"/>
      <c r="B197" s="34"/>
      <c r="C197" s="34"/>
      <c r="D197" s="34"/>
      <c r="E197" s="34"/>
      <c r="F197" s="42" t="s">
        <v>211</v>
      </c>
      <c r="G197" s="164" t="s">
        <v>26</v>
      </c>
      <c r="H197" s="153" t="n">
        <v>5</v>
      </c>
      <c r="I197" s="165"/>
      <c r="J197" s="165"/>
      <c r="K197" s="166"/>
      <c r="L197" s="166" t="n">
        <f aca="false">M197+N197</f>
        <v>0</v>
      </c>
      <c r="M197" s="166"/>
      <c r="N197" s="167"/>
      <c r="O197" s="168" t="n">
        <v>1</v>
      </c>
      <c r="P197" s="166" t="n">
        <v>3700.2</v>
      </c>
      <c r="Q197" s="166" t="n">
        <f aca="false">R197+S197</f>
        <v>0</v>
      </c>
      <c r="R197" s="166"/>
      <c r="S197" s="167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72"/>
      <c r="B198" s="73" t="s">
        <v>133</v>
      </c>
      <c r="C198" s="74" t="s">
        <v>20</v>
      </c>
      <c r="D198" s="74"/>
      <c r="E198" s="74" t="s">
        <v>25</v>
      </c>
      <c r="F198" s="22"/>
      <c r="G198" s="146" t="s">
        <v>22</v>
      </c>
      <c r="H198" s="159" t="n">
        <v>2</v>
      </c>
      <c r="I198" s="148" t="n">
        <v>2</v>
      </c>
      <c r="J198" s="148" t="n">
        <v>2</v>
      </c>
      <c r="K198" s="149" t="n">
        <v>3312.63</v>
      </c>
      <c r="L198" s="149" t="n">
        <f aca="false">M198+N198</f>
        <v>0</v>
      </c>
      <c r="M198" s="149"/>
      <c r="N198" s="167"/>
      <c r="O198" s="151" t="n">
        <v>1</v>
      </c>
      <c r="P198" s="149" t="n">
        <v>2163.03</v>
      </c>
      <c r="Q198" s="149" t="n">
        <f aca="false">R198+S198</f>
        <v>2163.03</v>
      </c>
      <c r="R198" s="149" t="n">
        <v>2163.03</v>
      </c>
      <c r="S198" s="167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72"/>
      <c r="B199" s="73"/>
      <c r="C199" s="73"/>
      <c r="D199" s="73"/>
      <c r="E199" s="73"/>
      <c r="F199" s="42" t="s">
        <v>212</v>
      </c>
      <c r="G199" s="164" t="s">
        <v>26</v>
      </c>
      <c r="H199" s="171" t="n">
        <v>4</v>
      </c>
      <c r="I199" s="165" t="n">
        <v>1</v>
      </c>
      <c r="J199" s="165" t="n">
        <v>1</v>
      </c>
      <c r="K199" s="166" t="n">
        <v>1409.6</v>
      </c>
      <c r="L199" s="166" t="n">
        <f aca="false">M199+N199</f>
        <v>0</v>
      </c>
      <c r="M199" s="166"/>
      <c r="N199" s="167"/>
      <c r="O199" s="168" t="n">
        <v>1</v>
      </c>
      <c r="P199" s="166" t="n">
        <v>1321.5</v>
      </c>
      <c r="Q199" s="166" t="n">
        <f aca="false">R199+S199</f>
        <v>0</v>
      </c>
      <c r="R199" s="166"/>
      <c r="S199" s="167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134</v>
      </c>
      <c r="C200" s="74" t="s">
        <v>20</v>
      </c>
      <c r="D200" s="74"/>
      <c r="E200" s="74" t="s">
        <v>25</v>
      </c>
      <c r="F200" s="20"/>
      <c r="G200" s="146" t="s">
        <v>22</v>
      </c>
      <c r="H200" s="169"/>
      <c r="I200" s="148"/>
      <c r="J200" s="148"/>
      <c r="K200" s="149"/>
      <c r="L200" s="149" t="n">
        <f aca="false">M200+N200</f>
        <v>0</v>
      </c>
      <c r="M200" s="149"/>
      <c r="N200" s="167"/>
      <c r="O200" s="151" t="n">
        <v>1</v>
      </c>
      <c r="P200" s="149" t="n">
        <v>13019.26</v>
      </c>
      <c r="Q200" s="149" t="n">
        <f aca="false">R200+S200</f>
        <v>13019.26</v>
      </c>
      <c r="R200" s="149"/>
      <c r="S200" s="167" t="n">
        <v>13019.26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72"/>
      <c r="B201" s="73"/>
      <c r="C201" s="73"/>
      <c r="D201" s="73"/>
      <c r="E201" s="73"/>
      <c r="F201" s="42" t="s">
        <v>213</v>
      </c>
      <c r="G201" s="164" t="s">
        <v>26</v>
      </c>
      <c r="H201" s="153" t="n">
        <v>1</v>
      </c>
      <c r="I201" s="165"/>
      <c r="J201" s="165"/>
      <c r="K201" s="166"/>
      <c r="L201" s="166" t="n">
        <f aca="false">M201+N201</f>
        <v>0</v>
      </c>
      <c r="M201" s="166"/>
      <c r="N201" s="167"/>
      <c r="O201" s="168" t="n">
        <v>3</v>
      </c>
      <c r="P201" s="166" t="n">
        <v>23840.15</v>
      </c>
      <c r="Q201" s="166" t="n">
        <f aca="false">R201+S201</f>
        <v>0</v>
      </c>
      <c r="R201" s="166"/>
      <c r="S201" s="167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135</v>
      </c>
      <c r="C202" s="19" t="s">
        <v>20</v>
      </c>
      <c r="D202" s="19"/>
      <c r="E202" s="19" t="s">
        <v>69</v>
      </c>
      <c r="F202" s="22"/>
      <c r="G202" s="146" t="s">
        <v>22</v>
      </c>
      <c r="H202" s="159" t="n">
        <v>8</v>
      </c>
      <c r="I202" s="148" t="n">
        <v>2</v>
      </c>
      <c r="J202" s="148" t="n">
        <v>2</v>
      </c>
      <c r="K202" s="149" t="n">
        <v>2995.4</v>
      </c>
      <c r="L202" s="149" t="n">
        <f aca="false">M202+N202</f>
        <v>2995.4</v>
      </c>
      <c r="M202" s="149" t="n">
        <v>2995.4</v>
      </c>
      <c r="N202" s="167"/>
      <c r="O202" s="151" t="n">
        <v>11</v>
      </c>
      <c r="P202" s="149" t="n">
        <v>20480.05</v>
      </c>
      <c r="Q202" s="149" t="n">
        <f aca="false">R202+S202</f>
        <v>14331.8</v>
      </c>
      <c r="R202" s="149" t="n">
        <v>14331.8</v>
      </c>
      <c r="S202" s="167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26" t="s">
        <v>277</v>
      </c>
      <c r="G203" s="152" t="s">
        <v>26</v>
      </c>
      <c r="H203" s="171" t="n">
        <v>2</v>
      </c>
      <c r="I203" s="154"/>
      <c r="J203" s="154"/>
      <c r="K203" s="155"/>
      <c r="L203" s="155" t="n">
        <f aca="false">M203+N203</f>
        <v>0</v>
      </c>
      <c r="M203" s="155"/>
      <c r="N203" s="167"/>
      <c r="O203" s="157" t="n">
        <v>2</v>
      </c>
      <c r="P203" s="155" t="n">
        <v>2292.9</v>
      </c>
      <c r="Q203" s="155" t="n">
        <f aca="false">R203+S203</f>
        <v>0</v>
      </c>
      <c r="R203" s="155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33"/>
      <c r="B204" s="34" t="s">
        <v>136</v>
      </c>
      <c r="C204" s="35" t="s">
        <v>20</v>
      </c>
      <c r="D204" s="35"/>
      <c r="E204" s="35" t="s">
        <v>98</v>
      </c>
      <c r="F204" s="36"/>
      <c r="G204" s="146" t="s">
        <v>22</v>
      </c>
      <c r="H204" s="159" t="n">
        <v>11</v>
      </c>
      <c r="I204" s="160" t="n">
        <v>9</v>
      </c>
      <c r="J204" s="160" t="n">
        <v>12</v>
      </c>
      <c r="K204" s="161" t="n">
        <v>20218.61</v>
      </c>
      <c r="L204" s="161" t="n">
        <f aca="false">M204+N204</f>
        <v>7070.9</v>
      </c>
      <c r="M204" s="161" t="n">
        <v>7070.9</v>
      </c>
      <c r="N204" s="167"/>
      <c r="O204" s="163" t="n">
        <v>9</v>
      </c>
      <c r="P204" s="161" t="n">
        <v>14877.54</v>
      </c>
      <c r="Q204" s="161" t="n">
        <f aca="false">R204+S204</f>
        <v>11139.63</v>
      </c>
      <c r="R204" s="161" t="n">
        <v>11139.63</v>
      </c>
      <c r="S204" s="167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33"/>
      <c r="B205" s="34"/>
      <c r="C205" s="34"/>
      <c r="D205" s="34"/>
      <c r="E205" s="34"/>
      <c r="F205" s="42" t="s">
        <v>247</v>
      </c>
      <c r="G205" s="164" t="s">
        <v>23</v>
      </c>
      <c r="H205" s="171" t="n">
        <v>5</v>
      </c>
      <c r="I205" s="165" t="n">
        <v>6</v>
      </c>
      <c r="J205" s="165" t="n">
        <v>6</v>
      </c>
      <c r="K205" s="166" t="n">
        <v>4581.2</v>
      </c>
      <c r="L205" s="166" t="n">
        <f aca="false">M205+N205</f>
        <v>0</v>
      </c>
      <c r="M205" s="166"/>
      <c r="N205" s="167"/>
      <c r="O205" s="168" t="n">
        <v>6</v>
      </c>
      <c r="P205" s="166" t="n">
        <v>5638.4</v>
      </c>
      <c r="Q205" s="166" t="n">
        <v>1585.8</v>
      </c>
      <c r="R205" s="166"/>
      <c r="S205" s="167" t="n">
        <v>1585.8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137</v>
      </c>
      <c r="C206" s="19" t="s">
        <v>20</v>
      </c>
      <c r="D206" s="19"/>
      <c r="E206" s="19" t="s">
        <v>25</v>
      </c>
      <c r="F206" s="20"/>
      <c r="G206" s="146" t="s">
        <v>22</v>
      </c>
      <c r="H206" s="169"/>
      <c r="I206" s="148"/>
      <c r="J206" s="148"/>
      <c r="K206" s="149"/>
      <c r="L206" s="149" t="n">
        <f aca="false">M206+N206</f>
        <v>0</v>
      </c>
      <c r="M206" s="149"/>
      <c r="N206" s="167"/>
      <c r="O206" s="151"/>
      <c r="P206" s="149"/>
      <c r="Q206" s="149" t="n">
        <f aca="false">R206+S206</f>
        <v>0</v>
      </c>
      <c r="R206" s="149"/>
      <c r="S206" s="167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20.25" hidden="false" customHeight="true" outlineLevel="0" collapsed="false">
      <c r="A207" s="17"/>
      <c r="B207" s="18"/>
      <c r="C207" s="18"/>
      <c r="D207" s="18"/>
      <c r="E207" s="18"/>
      <c r="F207" s="26"/>
      <c r="G207" s="152" t="s">
        <v>26</v>
      </c>
      <c r="H207" s="153" t="n">
        <v>8</v>
      </c>
      <c r="I207" s="154"/>
      <c r="J207" s="154"/>
      <c r="K207" s="155"/>
      <c r="L207" s="155" t="n">
        <f aca="false">M207+N207</f>
        <v>0</v>
      </c>
      <c r="M207" s="155"/>
      <c r="N207" s="167"/>
      <c r="O207" s="157"/>
      <c r="P207" s="155"/>
      <c r="Q207" s="155" t="n">
        <f aca="false">R207+S207</f>
        <v>0</v>
      </c>
      <c r="R207" s="155"/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54"/>
      <c r="B208" s="55" t="s">
        <v>138</v>
      </c>
      <c r="C208" s="56" t="s">
        <v>33</v>
      </c>
      <c r="D208" s="56" t="s">
        <v>139</v>
      </c>
      <c r="E208" s="56" t="s">
        <v>25</v>
      </c>
      <c r="F208" s="36"/>
      <c r="G208" s="146" t="s">
        <v>22</v>
      </c>
      <c r="H208" s="169"/>
      <c r="I208" s="160"/>
      <c r="J208" s="160"/>
      <c r="K208" s="161"/>
      <c r="L208" s="161" t="n">
        <f aca="false">M208+N208</f>
        <v>0</v>
      </c>
      <c r="M208" s="161"/>
      <c r="N208" s="167"/>
      <c r="O208" s="163"/>
      <c r="P208" s="161"/>
      <c r="Q208" s="161" t="n">
        <f aca="false">R208+S208</f>
        <v>0</v>
      </c>
      <c r="R208" s="161"/>
      <c r="S208" s="167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54"/>
      <c r="B209" s="55"/>
      <c r="C209" s="55"/>
      <c r="D209" s="55"/>
      <c r="E209" s="55"/>
      <c r="F209" s="26" t="s">
        <v>214</v>
      </c>
      <c r="G209" s="152" t="s">
        <v>26</v>
      </c>
      <c r="H209" s="171" t="n">
        <v>5</v>
      </c>
      <c r="I209" s="154" t="n">
        <v>1</v>
      </c>
      <c r="J209" s="154" t="n">
        <v>1</v>
      </c>
      <c r="K209" s="155" t="n">
        <v>2466.8</v>
      </c>
      <c r="L209" s="155" t="n">
        <f aca="false">M209+N209</f>
        <v>0</v>
      </c>
      <c r="M209" s="155"/>
      <c r="N209" s="167"/>
      <c r="O209" s="157"/>
      <c r="P209" s="155"/>
      <c r="Q209" s="155" t="n">
        <f aca="false">R209+S209</f>
        <v>0</v>
      </c>
      <c r="R209" s="155"/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" hidden="false" customHeight="true" outlineLevel="0" collapsed="false">
      <c r="A210" s="33"/>
      <c r="B210" s="34" t="s">
        <v>140</v>
      </c>
      <c r="C210" s="35" t="s">
        <v>20</v>
      </c>
      <c r="D210" s="35"/>
      <c r="E210" s="35" t="s">
        <v>141</v>
      </c>
      <c r="F210" s="36"/>
      <c r="G210" s="146" t="s">
        <v>22</v>
      </c>
      <c r="H210" s="159" t="n">
        <v>5</v>
      </c>
      <c r="I210" s="160" t="n">
        <v>3</v>
      </c>
      <c r="J210" s="160" t="n">
        <v>3</v>
      </c>
      <c r="K210" s="161" t="n">
        <v>3881.13</v>
      </c>
      <c r="L210" s="161" t="n">
        <f aca="false">M210+N210</f>
        <v>1046.63</v>
      </c>
      <c r="M210" s="161"/>
      <c r="N210" s="167" t="n">
        <v>1046.63</v>
      </c>
      <c r="O210" s="163" t="n">
        <v>7</v>
      </c>
      <c r="P210" s="161" t="n">
        <v>20134.54</v>
      </c>
      <c r="Q210" s="161" t="n">
        <f aca="false">R210+S210</f>
        <v>8449.99</v>
      </c>
      <c r="R210" s="161"/>
      <c r="S210" s="167" t="n">
        <v>8449.99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215</v>
      </c>
      <c r="G211" s="164" t="s">
        <v>26</v>
      </c>
      <c r="H211" s="175" t="n">
        <v>1</v>
      </c>
      <c r="I211" s="165"/>
      <c r="J211" s="165"/>
      <c r="K211" s="166"/>
      <c r="L211" s="166" t="n">
        <f aca="false">M211+N211</f>
        <v>0</v>
      </c>
      <c r="M211" s="166"/>
      <c r="N211" s="167"/>
      <c r="O211" s="168"/>
      <c r="P211" s="166"/>
      <c r="Q211" s="166" t="n">
        <f aca="false">R211+S211</f>
        <v>0</v>
      </c>
      <c r="R211" s="166"/>
      <c r="S211" s="167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251</v>
      </c>
      <c r="C212" s="19" t="s">
        <v>20</v>
      </c>
      <c r="D212" s="19"/>
      <c r="E212" s="19" t="s">
        <v>116</v>
      </c>
      <c r="F212" s="20"/>
      <c r="G212" s="146" t="s">
        <v>22</v>
      </c>
      <c r="H212" s="173" t="n">
        <v>1</v>
      </c>
      <c r="I212" s="148"/>
      <c r="J212" s="148"/>
      <c r="K212" s="149"/>
      <c r="L212" s="149"/>
      <c r="M212" s="149"/>
      <c r="N212" s="167"/>
      <c r="O212" s="206"/>
      <c r="P212" s="149"/>
      <c r="Q212" s="149"/>
      <c r="R212" s="149"/>
      <c r="S212" s="167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17"/>
      <c r="B213" s="18"/>
      <c r="C213" s="18"/>
      <c r="D213" s="18"/>
      <c r="E213" s="18"/>
      <c r="F213" s="26" t="s">
        <v>252</v>
      </c>
      <c r="G213" s="152" t="s">
        <v>26</v>
      </c>
      <c r="H213" s="174" t="n">
        <v>2</v>
      </c>
      <c r="I213" s="154"/>
      <c r="J213" s="154"/>
      <c r="K213" s="155"/>
      <c r="L213" s="155"/>
      <c r="M213" s="155"/>
      <c r="N213" s="167"/>
      <c r="O213" s="209"/>
      <c r="P213" s="155"/>
      <c r="Q213" s="155"/>
      <c r="R213" s="155"/>
      <c r="S213" s="167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142</v>
      </c>
      <c r="C214" s="56" t="s">
        <v>20</v>
      </c>
      <c r="D214" s="56"/>
      <c r="E214" s="56" t="s">
        <v>25</v>
      </c>
      <c r="F214" s="36"/>
      <c r="G214" s="158" t="s">
        <v>22</v>
      </c>
      <c r="H214" s="173" t="n">
        <v>4</v>
      </c>
      <c r="I214" s="148" t="n">
        <v>3</v>
      </c>
      <c r="J214" s="148" t="n">
        <v>3</v>
      </c>
      <c r="K214" s="149" t="n">
        <v>1656.28</v>
      </c>
      <c r="L214" s="149" t="n">
        <f aca="false">M214+N214</f>
        <v>1656.28</v>
      </c>
      <c r="M214" s="149" t="n">
        <v>1656.28</v>
      </c>
      <c r="N214" s="167"/>
      <c r="O214" s="228" t="n">
        <v>4</v>
      </c>
      <c r="P214" s="161" t="n">
        <v>5104.51</v>
      </c>
      <c r="Q214" s="161" t="n">
        <f aca="false">R214+S214</f>
        <v>3342.51</v>
      </c>
      <c r="R214" s="161" t="n">
        <v>3342.51</v>
      </c>
      <c r="S214" s="167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216</v>
      </c>
      <c r="G215" s="152" t="s">
        <v>26</v>
      </c>
      <c r="H215" s="174" t="n">
        <v>5</v>
      </c>
      <c r="I215" s="154" t="n">
        <v>3</v>
      </c>
      <c r="J215" s="154" t="n">
        <v>3</v>
      </c>
      <c r="K215" s="155" t="n">
        <v>5990.8</v>
      </c>
      <c r="L215" s="155" t="n">
        <f aca="false">M215+N215</f>
        <v>3347.8</v>
      </c>
      <c r="M215" s="155" t="n">
        <f aca="false">3052.81</f>
        <v>3052.81</v>
      </c>
      <c r="N215" s="167" t="n">
        <v>294.99</v>
      </c>
      <c r="O215" s="209" t="n">
        <v>7</v>
      </c>
      <c r="P215" s="155" t="n">
        <v>7343.2</v>
      </c>
      <c r="Q215" s="155" t="n">
        <f aca="false">R215+S215</f>
        <v>528.6</v>
      </c>
      <c r="R215" s="155" t="n">
        <f aca="false">528.6</f>
        <v>528.6</v>
      </c>
      <c r="S215" s="167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33"/>
      <c r="B216" s="34" t="s">
        <v>143</v>
      </c>
      <c r="C216" s="35" t="s">
        <v>20</v>
      </c>
      <c r="D216" s="35"/>
      <c r="E216" s="35" t="s">
        <v>25</v>
      </c>
      <c r="F216" s="36"/>
      <c r="G216" s="146" t="s">
        <v>22</v>
      </c>
      <c r="H216" s="169"/>
      <c r="I216" s="160"/>
      <c r="J216" s="160"/>
      <c r="K216" s="161"/>
      <c r="L216" s="161" t="n">
        <f aca="false">M216+N216</f>
        <v>0</v>
      </c>
      <c r="M216" s="161"/>
      <c r="N216" s="167"/>
      <c r="O216" s="163" t="n">
        <v>1</v>
      </c>
      <c r="P216" s="161" t="n">
        <v>1515.67</v>
      </c>
      <c r="Q216" s="161" t="n">
        <f aca="false">R216+S216</f>
        <v>0</v>
      </c>
      <c r="R216" s="161"/>
      <c r="S216" s="167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42" t="s">
        <v>217</v>
      </c>
      <c r="G217" s="164" t="s">
        <v>26</v>
      </c>
      <c r="H217" s="171" t="n">
        <v>5</v>
      </c>
      <c r="I217" s="165"/>
      <c r="J217" s="165"/>
      <c r="K217" s="166"/>
      <c r="L217" s="166" t="n">
        <f aca="false">M217+N217</f>
        <v>0</v>
      </c>
      <c r="M217" s="166"/>
      <c r="N217" s="167"/>
      <c r="O217" s="168" t="n">
        <v>5</v>
      </c>
      <c r="P217" s="166" t="n">
        <v>34775.2</v>
      </c>
      <c r="Q217" s="166" t="n">
        <f aca="false">R217+S217</f>
        <v>0</v>
      </c>
      <c r="R217" s="166"/>
      <c r="S217" s="167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144</v>
      </c>
      <c r="C218" s="19" t="s">
        <v>20</v>
      </c>
      <c r="D218" s="19"/>
      <c r="E218" s="19" t="s">
        <v>81</v>
      </c>
      <c r="F218" s="20"/>
      <c r="G218" s="146" t="s">
        <v>22</v>
      </c>
      <c r="H218" s="159" t="n">
        <v>5</v>
      </c>
      <c r="I218" s="148" t="n">
        <v>3</v>
      </c>
      <c r="J218" s="148" t="n">
        <v>3</v>
      </c>
      <c r="K218" s="149" t="n">
        <v>2096.78</v>
      </c>
      <c r="L218" s="149" t="n">
        <f aca="false">M218+N218</f>
        <v>0</v>
      </c>
      <c r="M218" s="149"/>
      <c r="N218" s="167"/>
      <c r="O218" s="151" t="n">
        <v>4</v>
      </c>
      <c r="P218" s="149" t="n">
        <v>3636.77</v>
      </c>
      <c r="Q218" s="149" t="n">
        <f aca="false">R218+S218</f>
        <v>735.64</v>
      </c>
      <c r="R218" s="149"/>
      <c r="S218" s="167" t="n">
        <v>735.64</v>
      </c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218</v>
      </c>
      <c r="G219" s="152" t="s">
        <v>26</v>
      </c>
      <c r="H219" s="171" t="n">
        <v>6</v>
      </c>
      <c r="I219" s="154"/>
      <c r="J219" s="154"/>
      <c r="K219" s="155"/>
      <c r="L219" s="155" t="n">
        <f aca="false">M219+N219</f>
        <v>0</v>
      </c>
      <c r="M219" s="155"/>
      <c r="N219" s="167"/>
      <c r="O219" s="157" t="n">
        <v>2</v>
      </c>
      <c r="P219" s="155" t="n">
        <v>4493.1</v>
      </c>
      <c r="Q219" s="155" t="n">
        <f aca="false">R219+S219</f>
        <v>0</v>
      </c>
      <c r="R219" s="155"/>
      <c r="S219" s="167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true" outlineLevel="0" collapsed="false">
      <c r="A220" s="33"/>
      <c r="B220" s="34" t="s">
        <v>145</v>
      </c>
      <c r="C220" s="35" t="s">
        <v>20</v>
      </c>
      <c r="D220" s="35"/>
      <c r="E220" s="35" t="s">
        <v>98</v>
      </c>
      <c r="F220" s="36"/>
      <c r="G220" s="146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67"/>
      <c r="O220" s="163"/>
      <c r="P220" s="161"/>
      <c r="Q220" s="161" t="n">
        <f aca="false">R220+S220</f>
        <v>0</v>
      </c>
      <c r="R220" s="161"/>
      <c r="S220" s="167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71"/>
      <c r="G221" s="164" t="s">
        <v>23</v>
      </c>
      <c r="H221" s="175"/>
      <c r="I221" s="165"/>
      <c r="J221" s="165"/>
      <c r="K221" s="166"/>
      <c r="L221" s="166" t="n">
        <f aca="false">M221+N221</f>
        <v>0</v>
      </c>
      <c r="M221" s="166"/>
      <c r="N221" s="167"/>
      <c r="O221" s="168"/>
      <c r="P221" s="166"/>
      <c r="Q221" s="166" t="n">
        <f aca="false">R221+S221</f>
        <v>0</v>
      </c>
      <c r="R221" s="166"/>
      <c r="S221" s="167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" hidden="false" customHeight="true" outlineLevel="0" collapsed="false">
      <c r="A222" s="17"/>
      <c r="B222" s="18" t="s">
        <v>146</v>
      </c>
      <c r="C222" s="19" t="s">
        <v>20</v>
      </c>
      <c r="D222" s="19"/>
      <c r="E222" s="19" t="s">
        <v>25</v>
      </c>
      <c r="F222" s="22"/>
      <c r="G222" s="146" t="s">
        <v>22</v>
      </c>
      <c r="H222" s="173" t="n">
        <v>6</v>
      </c>
      <c r="I222" s="148" t="n">
        <v>4</v>
      </c>
      <c r="J222" s="148" t="n">
        <v>4</v>
      </c>
      <c r="K222" s="149" t="n">
        <v>2819.2</v>
      </c>
      <c r="L222" s="149" t="n">
        <f aca="false">M222+N222</f>
        <v>352.4</v>
      </c>
      <c r="M222" s="149" t="n">
        <v>352.4</v>
      </c>
      <c r="N222" s="167"/>
      <c r="O222" s="206" t="n">
        <v>1</v>
      </c>
      <c r="P222" s="149" t="n">
        <v>1546.68</v>
      </c>
      <c r="Q222" s="149" t="n">
        <f aca="false">R222+S222</f>
        <v>1546.68</v>
      </c>
      <c r="R222" s="149" t="n">
        <v>1546.68</v>
      </c>
      <c r="S222" s="167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219</v>
      </c>
      <c r="G223" s="152" t="s">
        <v>26</v>
      </c>
      <c r="H223" s="176"/>
      <c r="I223" s="154"/>
      <c r="J223" s="154"/>
      <c r="K223" s="155"/>
      <c r="L223" s="155" t="n">
        <f aca="false">M223+N223</f>
        <v>0</v>
      </c>
      <c r="M223" s="155" t="n">
        <v>0</v>
      </c>
      <c r="N223" s="167"/>
      <c r="O223" s="209" t="n">
        <v>1</v>
      </c>
      <c r="P223" s="155" t="n">
        <v>1585.8</v>
      </c>
      <c r="Q223" s="155" t="n">
        <f aca="false">R223+S223</f>
        <v>1585.8</v>
      </c>
      <c r="R223" s="155" t="n">
        <v>1585.8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147</v>
      </c>
      <c r="C224" s="56" t="s">
        <v>20</v>
      </c>
      <c r="D224" s="56"/>
      <c r="E224" s="56" t="s">
        <v>25</v>
      </c>
      <c r="F224" s="97"/>
      <c r="G224" s="146" t="s">
        <v>22</v>
      </c>
      <c r="H224" s="159" t="n">
        <v>3</v>
      </c>
      <c r="I224" s="160" t="n">
        <v>3</v>
      </c>
      <c r="J224" s="160" t="n">
        <v>3</v>
      </c>
      <c r="K224" s="161" t="n">
        <v>2093.26</v>
      </c>
      <c r="L224" s="161" t="n">
        <f aca="false">M224+N224</f>
        <v>0</v>
      </c>
      <c r="M224" s="161"/>
      <c r="N224" s="167"/>
      <c r="O224" s="163" t="n">
        <v>3</v>
      </c>
      <c r="P224" s="161" t="n">
        <v>14266.03</v>
      </c>
      <c r="Q224" s="161" t="n">
        <f aca="false">R224+S224</f>
        <v>0</v>
      </c>
      <c r="R224" s="161"/>
      <c r="S224" s="167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220</v>
      </c>
      <c r="G225" s="152" t="s">
        <v>26</v>
      </c>
      <c r="H225" s="171" t="n">
        <v>8</v>
      </c>
      <c r="I225" s="154" t="n">
        <v>1</v>
      </c>
      <c r="J225" s="154" t="n">
        <v>1</v>
      </c>
      <c r="K225" s="155" t="n">
        <v>6167</v>
      </c>
      <c r="L225" s="161" t="n">
        <f aca="false">M225+N225</f>
        <v>0</v>
      </c>
      <c r="M225" s="155" t="n">
        <v>0</v>
      </c>
      <c r="N225" s="167"/>
      <c r="O225" s="157" t="n">
        <v>5</v>
      </c>
      <c r="P225" s="155" t="n">
        <v>13038.8</v>
      </c>
      <c r="Q225" s="161" t="n">
        <f aca="false">R225+S225</f>
        <v>7576.6</v>
      </c>
      <c r="R225" s="155" t="n">
        <f aca="false">7048+528.6</f>
        <v>7576.6</v>
      </c>
      <c r="S225" s="167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148</v>
      </c>
      <c r="C226" s="19" t="s">
        <v>20</v>
      </c>
      <c r="D226" s="19"/>
      <c r="E226" s="19" t="s">
        <v>21</v>
      </c>
      <c r="F226" s="22"/>
      <c r="G226" s="146" t="s">
        <v>22</v>
      </c>
      <c r="H226" s="159" t="n">
        <v>1</v>
      </c>
      <c r="I226" s="148" t="n">
        <v>1</v>
      </c>
      <c r="J226" s="148" t="n">
        <v>1</v>
      </c>
      <c r="K226" s="149" t="n">
        <v>436.1</v>
      </c>
      <c r="L226" s="149" t="n">
        <f aca="false">M226+N226</f>
        <v>0</v>
      </c>
      <c r="M226" s="149"/>
      <c r="N226" s="167"/>
      <c r="O226" s="151" t="n">
        <v>1</v>
      </c>
      <c r="P226" s="149" t="n">
        <v>13232.99</v>
      </c>
      <c r="Q226" s="149" t="n">
        <f aca="false">R226+S226</f>
        <v>0</v>
      </c>
      <c r="R226" s="149"/>
      <c r="S226" s="167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248</v>
      </c>
      <c r="G227" s="152" t="s">
        <v>23</v>
      </c>
      <c r="H227" s="171" t="n">
        <v>2</v>
      </c>
      <c r="I227" s="154"/>
      <c r="J227" s="154"/>
      <c r="K227" s="155"/>
      <c r="L227" s="155" t="n">
        <f aca="false">M227+N227</f>
        <v>0</v>
      </c>
      <c r="M227" s="155"/>
      <c r="N227" s="167"/>
      <c r="O227" s="157" t="n">
        <v>1</v>
      </c>
      <c r="P227" s="155" t="n">
        <v>572.65</v>
      </c>
      <c r="Q227" s="155" t="n">
        <v>572.65</v>
      </c>
      <c r="R227" s="155" t="n">
        <v>572.65</v>
      </c>
      <c r="S227" s="167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99"/>
      <c r="B228" s="100" t="s">
        <v>149</v>
      </c>
      <c r="C228" s="100"/>
      <c r="D228" s="100"/>
      <c r="E228" s="100"/>
      <c r="F228" s="100"/>
      <c r="G228" s="212"/>
      <c r="H228" s="213" t="n">
        <f aca="false">SUM(H9:H227)</f>
        <v>1009</v>
      </c>
      <c r="I228" s="214" t="n">
        <f aca="false">SUM(I9:I227)</f>
        <v>436</v>
      </c>
      <c r="J228" s="214" t="n">
        <f aca="false">SUM(J9:J227)</f>
        <v>481</v>
      </c>
      <c r="K228" s="215" t="n">
        <f aca="false">SUM(K9:K227)</f>
        <v>653201.67</v>
      </c>
      <c r="L228" s="215" t="n">
        <f aca="false">SUM(L9:L227)</f>
        <v>236296.24</v>
      </c>
      <c r="M228" s="215" t="n">
        <f aca="false">SUM(M9:M227)</f>
        <v>123178.58</v>
      </c>
      <c r="N228" s="215" t="n">
        <f aca="false">SUM(N9:N227)</f>
        <v>113117.66</v>
      </c>
      <c r="O228" s="213" t="n">
        <f aca="false">SUM(O9:O227)</f>
        <v>684</v>
      </c>
      <c r="P228" s="215" t="n">
        <f aca="false">SUM(P9:P227)</f>
        <v>1982815.3</v>
      </c>
      <c r="Q228" s="215" t="n">
        <f aca="false">SUM(Q9:Q227)</f>
        <v>980435.14</v>
      </c>
      <c r="R228" s="215" t="n">
        <f aca="false">SUM(R9:R227)</f>
        <v>391371.77</v>
      </c>
      <c r="S228" s="215" t="n">
        <f aca="false">SUM(S9:S227)</f>
        <v>589063.37</v>
      </c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2"/>
      <c r="B232" s="2"/>
      <c r="C232" s="2"/>
      <c r="D232" s="2"/>
      <c r="E232" s="2"/>
      <c r="F232" s="103"/>
      <c r="G232" s="104" t="s">
        <v>5</v>
      </c>
      <c r="H232" s="104"/>
      <c r="I232" s="104"/>
      <c r="J232" s="104"/>
      <c r="K232" s="104"/>
      <c r="L232" s="104"/>
      <c r="M232" s="104"/>
      <c r="N232" s="104" t="s">
        <v>6</v>
      </c>
      <c r="O232" s="104"/>
      <c r="P232" s="104"/>
      <c r="Q232" s="104"/>
      <c r="R232" s="104"/>
      <c r="S232" s="105" t="s">
        <v>150</v>
      </c>
      <c r="T232" s="105" t="s">
        <v>253</v>
      </c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103"/>
      <c r="G233" s="106" t="s">
        <v>13</v>
      </c>
      <c r="H233" s="106" t="s">
        <v>14</v>
      </c>
      <c r="I233" s="106" t="s">
        <v>15</v>
      </c>
      <c r="J233" s="106" t="s">
        <v>226</v>
      </c>
      <c r="K233" s="106" t="s">
        <v>16</v>
      </c>
      <c r="L233" s="106" t="s">
        <v>17</v>
      </c>
      <c r="M233" s="106" t="s">
        <v>18</v>
      </c>
      <c r="N233" s="106" t="s">
        <v>15</v>
      </c>
      <c r="O233" s="106" t="s">
        <v>226</v>
      </c>
      <c r="P233" s="106" t="s">
        <v>16</v>
      </c>
      <c r="Q233" s="106" t="s">
        <v>17</v>
      </c>
      <c r="R233" s="106" t="s">
        <v>18</v>
      </c>
      <c r="S233" s="105"/>
      <c r="T233" s="105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107" t="s">
        <v>22</v>
      </c>
      <c r="G234" s="108" t="n">
        <f aca="false">SUMIF($G$9:$G$227,$F$234,H9:H227)</f>
        <v>633</v>
      </c>
      <c r="H234" s="108" t="n">
        <f aca="false">SUMIF($G$9:$G$227,$F$234,I9:I227)</f>
        <v>369</v>
      </c>
      <c r="I234" s="108" t="n">
        <f aca="false">SUMIF($G$9:$G$227,$F$234,J9:J227)</f>
        <v>414</v>
      </c>
      <c r="J234" s="110" t="n">
        <f aca="false">SUMIF($G$9:$G$227,F234,$K$9:$K$227)</f>
        <v>536997.25</v>
      </c>
      <c r="K234" s="110" t="n">
        <f aca="false">SUMIF($G$9:$G$227,$F$234,L9:L227)</f>
        <v>223257.44</v>
      </c>
      <c r="L234" s="110" t="n">
        <f aca="false">SUMIF($G$9:$G$227,$F$234,M9:M227)</f>
        <v>118187.57</v>
      </c>
      <c r="M234" s="109" t="n">
        <f aca="false">SUMIF($G$9:$G$227,$F$234,N9:N227)</f>
        <v>105069.87</v>
      </c>
      <c r="N234" s="108" t="n">
        <f aca="false">SUMIF($G$9:$G$227,$F$234,O9:O227)</f>
        <v>473</v>
      </c>
      <c r="O234" s="110" t="n">
        <f aca="false">SUMIF($G$9:$G$227,F234,$P$9:$P$227)</f>
        <v>1407232.79</v>
      </c>
      <c r="P234" s="110" t="n">
        <f aca="false">SUMIF($G$9:$G$227,$F$234,Q9:Q227)</f>
        <v>853489.04</v>
      </c>
      <c r="Q234" s="110" t="n">
        <f aca="false">SUMIF($G$9:$G$227,$F$234,R9:R227)</f>
        <v>331812.43</v>
      </c>
      <c r="R234" s="110" t="n">
        <f aca="false">SUMIF($G$9:$G$227,$F$234,S9:S227)</f>
        <v>521676.61</v>
      </c>
      <c r="S234" s="110" t="n">
        <f aca="false">Q234+L234</f>
        <v>450000</v>
      </c>
      <c r="T234" s="111" t="n">
        <f aca="false">J234-L234+O234-Q234</f>
        <v>1494230.04</v>
      </c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107" t="s">
        <v>26</v>
      </c>
      <c r="G235" s="108" t="n">
        <f aca="false">SUMIF($G$9:$G$227,$F$235,H9:H227)</f>
        <v>230</v>
      </c>
      <c r="H235" s="108" t="n">
        <v>20</v>
      </c>
      <c r="I235" s="108" t="n">
        <f aca="false">SUMIF($G$9:$G$227,$F$235,J9:J227)</f>
        <v>35</v>
      </c>
      <c r="J235" s="110" t="n">
        <f aca="false">SUMIF($G$9:$G$227,F235,$K$9:$K$227)</f>
        <v>82007.82</v>
      </c>
      <c r="K235" s="110" t="n">
        <f aca="false">SUMIF($G$9:$G$227,$F$235,L9:L227)</f>
        <v>5638.4</v>
      </c>
      <c r="L235" s="110" t="n">
        <f aca="false">SUMIF($G$9:$G$227,$F$235,M9:M227)</f>
        <v>3052.81</v>
      </c>
      <c r="M235" s="109" t="n">
        <f aca="false">SUMIF($G$9:$G$227,$F$235,N9:N227)</f>
        <v>2585.59</v>
      </c>
      <c r="N235" s="108" t="n">
        <f aca="false">SUMIF($G$9:$G$227,$F$235,O9:O227)</f>
        <v>144</v>
      </c>
      <c r="O235" s="110" t="n">
        <f aca="false">SUMIF($G$9:$G$227,F235,$P$9:$P$227)</f>
        <v>425689</v>
      </c>
      <c r="P235" s="110" t="n">
        <f aca="false">SUMIF($G$9:$G$227,$F$235,Q9:Q227)</f>
        <v>94485.55</v>
      </c>
      <c r="Q235" s="110" t="n">
        <f aca="false">SUMIF($G$9:$G$227,$F$235,R9:R227)</f>
        <v>41547.19</v>
      </c>
      <c r="R235" s="110" t="n">
        <f aca="false">SUMIF($G$9:$G$227,$F$235,S9:S227)</f>
        <v>52938.36</v>
      </c>
      <c r="S235" s="110" t="n">
        <f aca="false">Q235+L235</f>
        <v>44600</v>
      </c>
      <c r="T235" s="111" t="n">
        <f aca="false">J235-L235+O235-Q235</f>
        <v>463096.82</v>
      </c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107" t="s">
        <v>23</v>
      </c>
      <c r="G236" s="108" t="n">
        <f aca="false">SUMIF($G$9:$G$227,$F$236,H9:H227)</f>
        <v>146</v>
      </c>
      <c r="H236" s="108" t="n">
        <f aca="false">SUMIF($G$9:$G$227,$F$236,I9:I227)</f>
        <v>32</v>
      </c>
      <c r="I236" s="108" t="n">
        <f aca="false">SUMIF($G$9:$G$227,$F$236,J9:J227)</f>
        <v>32</v>
      </c>
      <c r="J236" s="110" t="n">
        <f aca="false">SUMIF($G$9:$G$227,F236,$K$9:$K$227)</f>
        <v>34196.6</v>
      </c>
      <c r="K236" s="110" t="n">
        <f aca="false">SUMIF($G$9:$G$227,$F$236,L9:L227)</f>
        <v>7400.4</v>
      </c>
      <c r="L236" s="110" t="n">
        <f aca="false">SUMIF($G$9:$G$227,$F$236,M9:M227)</f>
        <v>1938.2</v>
      </c>
      <c r="M236" s="109" t="n">
        <f aca="false">SUMIF($G$9:$G$227,$F$236,N9:N227)</f>
        <v>5462.2</v>
      </c>
      <c r="N236" s="108" t="n">
        <f aca="false">SUMIF($G$9:$G$227,$F$236,O9:O227)</f>
        <v>67</v>
      </c>
      <c r="O236" s="110" t="n">
        <f aca="false">SUMIF($G$9:$G$227,F236,$P$9:$P$227)</f>
        <v>149893.51</v>
      </c>
      <c r="P236" s="110" t="n">
        <f aca="false">SUMIF($G$9:$G$227,$F$236,Q9:Q227)</f>
        <v>32460.55</v>
      </c>
      <c r="Q236" s="110" t="n">
        <f aca="false">SUMIF($G$9:$G$227,$F$236,R9:R227)</f>
        <v>18012.15</v>
      </c>
      <c r="R236" s="110" t="n">
        <f aca="false">SUMIF($G$9:$G$227,$F$236,S9:S227)</f>
        <v>14448.4</v>
      </c>
      <c r="S236" s="110" t="n">
        <f aca="false">Q236+L236</f>
        <v>19950.35</v>
      </c>
      <c r="T236" s="111" t="n">
        <f aca="false">J236-L236+O236-Q236</f>
        <v>164139.76</v>
      </c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16" t="n">
        <f aca="false">G236+G235+G234</f>
        <v>1009</v>
      </c>
      <c r="H237" s="216" t="n">
        <f aca="false">H236+H235+H234</f>
        <v>421</v>
      </c>
      <c r="I237" s="216" t="n">
        <f aca="false">I236+I235+I234</f>
        <v>481</v>
      </c>
      <c r="J237" s="217" t="n">
        <f aca="false">J236+J235+J234</f>
        <v>653201.67</v>
      </c>
      <c r="K237" s="217" t="n">
        <f aca="false">K236+K235+K234</f>
        <v>236296.24</v>
      </c>
      <c r="L237" s="217" t="n">
        <f aca="false">L236+L235+L234</f>
        <v>123178.58</v>
      </c>
      <c r="M237" s="217" t="n">
        <f aca="false">M236+M235+M234</f>
        <v>113117.66</v>
      </c>
      <c r="N237" s="216" t="n">
        <f aca="false">N236+N235+N234</f>
        <v>684</v>
      </c>
      <c r="O237" s="217" t="n">
        <f aca="false">O236+O235+O234</f>
        <v>1982815.3</v>
      </c>
      <c r="P237" s="217" t="n">
        <f aca="false">P236+P235+P234</f>
        <v>980435.14</v>
      </c>
      <c r="Q237" s="217" t="n">
        <f aca="false">Q236+Q235+Q234</f>
        <v>391371.77</v>
      </c>
      <c r="R237" s="217" t="n">
        <f aca="false">R236+R235+R234</f>
        <v>589063.37</v>
      </c>
      <c r="S237" s="217" t="n">
        <f aca="false">S236+S235+S234</f>
        <v>514550.35</v>
      </c>
      <c r="T237" s="217" t="n">
        <f aca="false">T236+T235+T234</f>
        <v>2121466.62</v>
      </c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 t="s">
        <v>22</v>
      </c>
      <c r="G260" s="2" t="n">
        <v>633</v>
      </c>
      <c r="H260" s="2" t="n">
        <v>369</v>
      </c>
      <c r="I260" s="2" t="n">
        <v>414</v>
      </c>
      <c r="J260" s="2" t="n">
        <v>536997.25</v>
      </c>
      <c r="K260" s="2" t="n">
        <v>223257.44</v>
      </c>
      <c r="L260" s="2" t="n">
        <v>118187.57</v>
      </c>
      <c r="M260" s="2" t="n">
        <v>105069.87</v>
      </c>
      <c r="N260" s="2" t="n">
        <v>473</v>
      </c>
      <c r="O260" s="2" t="n">
        <v>1407232.79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K271" s="236"/>
    </row>
    <row r="272" customFormat="false" ht="15" hidden="false" customHeight="false" outlineLevel="0" collapsed="false">
      <c r="K272" s="236"/>
    </row>
    <row r="273" customFormat="false" ht="15" hidden="false" customHeight="false" outlineLevel="0" collapsed="false">
      <c r="K273" s="236"/>
    </row>
    <row r="274" customFormat="false" ht="15" hidden="false" customHeight="false" outlineLevel="0" collapsed="false">
      <c r="K274" s="236"/>
    </row>
    <row r="275" customFormat="false" ht="15" hidden="false" customHeight="false" outlineLevel="0" collapsed="false">
      <c r="K275" s="236"/>
    </row>
    <row r="276" customFormat="false" ht="15" hidden="false" customHeight="false" outlineLevel="0" collapsed="false">
      <c r="K276" s="236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F282" s="0" t="s">
        <v>22</v>
      </c>
      <c r="G282" s="0" t="n">
        <v>606</v>
      </c>
      <c r="H282" s="0" t="n">
        <v>346</v>
      </c>
      <c r="I282" s="0" t="n">
        <v>380</v>
      </c>
      <c r="J282" s="0" t="n">
        <v>468392.82</v>
      </c>
      <c r="K282" s="236" t="n">
        <v>223257.44</v>
      </c>
      <c r="L282" s="0" t="n">
        <v>118187.57</v>
      </c>
      <c r="M282" s="0" t="n">
        <v>105069.87</v>
      </c>
      <c r="N282" s="0" t="n">
        <v>454</v>
      </c>
      <c r="O282" s="0" t="n">
        <v>1304010.26</v>
      </c>
      <c r="P282" s="0" t="n">
        <v>853489.04</v>
      </c>
      <c r="Q282" s="0" t="n">
        <v>331812.43</v>
      </c>
      <c r="R282" s="0" t="n">
        <v>521676.61</v>
      </c>
      <c r="S282" s="0" t="n">
        <v>450000</v>
      </c>
      <c r="T282" s="0" t="n">
        <v>1322403.08</v>
      </c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</sheetData>
  <mergeCells count="54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7"/>
    <mergeCell ref="B165:B167"/>
    <mergeCell ref="C165:C167"/>
    <mergeCell ref="D165:D167"/>
    <mergeCell ref="E165:E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B174:B175"/>
    <mergeCell ref="D174:D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F232:F233"/>
    <mergeCell ref="G232:M232"/>
    <mergeCell ref="N232:R232"/>
    <mergeCell ref="S232:S233"/>
    <mergeCell ref="T232:T23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24236.65</v>
      </c>
      <c r="R9" s="149" t="n">
        <v>2037.73</v>
      </c>
      <c r="S9" s="190" t="n">
        <v>22198.92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16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9438.15</v>
      </c>
      <c r="N11" s="239" t="n">
        <v>19018.76</v>
      </c>
      <c r="O11" s="151" t="n">
        <v>7</v>
      </c>
      <c r="P11" s="149" t="n">
        <v>30607.11</v>
      </c>
      <c r="Q11" s="149" t="n">
        <f aca="false">R11+S11</f>
        <v>30607.11</v>
      </c>
      <c r="R11" s="149" t="n">
        <v>21512.99</v>
      </c>
      <c r="S11" s="150" t="n">
        <v>9094.12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/>
      <c r="S12" s="156" t="n">
        <v>2466.8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22</v>
      </c>
      <c r="I13" s="148" t="n">
        <v>16</v>
      </c>
      <c r="J13" s="148" t="n">
        <v>22</v>
      </c>
      <c r="K13" s="149" t="n">
        <v>23989.03</v>
      </c>
      <c r="L13" s="149" t="n">
        <f aca="false">M13+N13</f>
        <v>22535.38</v>
      </c>
      <c r="M13" s="149" t="n">
        <v>22535.38</v>
      </c>
      <c r="N13" s="190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2</v>
      </c>
      <c r="J14" s="154" t="n">
        <v>2</v>
      </c>
      <c r="K14" s="155" t="n">
        <v>1938.2</v>
      </c>
      <c r="L14" s="155" t="n">
        <f aca="false">M14+N14</f>
        <v>1938.2</v>
      </c>
      <c r="M14" s="155" t="n">
        <v>0</v>
      </c>
      <c r="N14" s="156" t="n">
        <v>1938.2</v>
      </c>
      <c r="O14" s="209" t="n">
        <v>6</v>
      </c>
      <c r="P14" s="155" t="n">
        <v>11273.8</v>
      </c>
      <c r="Q14" s="155" t="n">
        <f aca="false">R14+S14</f>
        <v>10916.3</v>
      </c>
      <c r="R14" s="155" t="n">
        <f aca="false">1585.8+2106.3</f>
        <v>3692.1</v>
      </c>
      <c r="S14" s="167" t="n">
        <v>7224.2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10924.4</v>
      </c>
      <c r="R16" s="166"/>
      <c r="S16" s="167" t="n">
        <v>10924.4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4</v>
      </c>
      <c r="I18" s="154" t="n">
        <v>1</v>
      </c>
      <c r="J18" s="154" t="n">
        <v>1</v>
      </c>
      <c r="K18" s="155" t="n">
        <v>704.8</v>
      </c>
      <c r="L18" s="155" t="n">
        <f aca="false">M18+N18</f>
        <v>704.8</v>
      </c>
      <c r="M18" s="155"/>
      <c r="N18" s="226" t="n">
        <v>704.8</v>
      </c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14</v>
      </c>
      <c r="I19" s="160" t="n">
        <v>6</v>
      </c>
      <c r="J19" s="160" t="n">
        <v>6</v>
      </c>
      <c r="K19" s="161" t="n">
        <v>6637.5</v>
      </c>
      <c r="L19" s="161" t="n">
        <f aca="false">M19+N19</f>
        <v>4012.08</v>
      </c>
      <c r="M19" s="161"/>
      <c r="N19" s="190" t="n">
        <v>4012.08</v>
      </c>
      <c r="O19" s="163" t="n">
        <v>16</v>
      </c>
      <c r="P19" s="161" t="n">
        <v>34111.34</v>
      </c>
      <c r="Q19" s="161" t="n">
        <f aca="false">R19+S19</f>
        <v>17766.28</v>
      </c>
      <c r="R19" s="161" t="n">
        <v>9903.11</v>
      </c>
      <c r="S19" s="190" t="n">
        <v>7863.17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 t="n">
        <v>2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20</v>
      </c>
      <c r="I21" s="160" t="n">
        <v>13</v>
      </c>
      <c r="J21" s="160" t="n">
        <v>19</v>
      </c>
      <c r="K21" s="161" t="n">
        <v>22813.49</v>
      </c>
      <c r="L21" s="161" t="n">
        <f aca="false">M21+N21</f>
        <v>15483.57</v>
      </c>
      <c r="M21" s="161" t="n">
        <v>7998.6</v>
      </c>
      <c r="N21" s="190" t="n">
        <v>7484.97</v>
      </c>
      <c r="O21" s="151" t="n">
        <v>18</v>
      </c>
      <c r="P21" s="149" t="n">
        <v>34926.57</v>
      </c>
      <c r="Q21" s="149" t="n">
        <f aca="false">R21+S21</f>
        <v>21911.73</v>
      </c>
      <c r="R21" s="149" t="n">
        <v>13470.86</v>
      </c>
      <c r="S21" s="198" t="n">
        <v>8440.87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1</v>
      </c>
      <c r="P22" s="155" t="n">
        <v>704.8</v>
      </c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15</v>
      </c>
      <c r="I23" s="148" t="n">
        <v>8</v>
      </c>
      <c r="J23" s="148" t="n">
        <v>8</v>
      </c>
      <c r="K23" s="148" t="n">
        <v>2378.7</v>
      </c>
      <c r="L23" s="149" t="n">
        <f aca="false">M23+N23</f>
        <v>2378.7</v>
      </c>
      <c r="M23" s="149"/>
      <c r="N23" s="190" t="n">
        <v>2378.7</v>
      </c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18</v>
      </c>
      <c r="I25" s="160" t="n">
        <v>15</v>
      </c>
      <c r="J25" s="160" t="n">
        <v>20</v>
      </c>
      <c r="K25" s="161" t="n">
        <v>26169.32</v>
      </c>
      <c r="L25" s="161" t="n">
        <f aca="false">M25+N25</f>
        <v>21522.43</v>
      </c>
      <c r="M25" s="161" t="n">
        <v>21522.43</v>
      </c>
      <c r="N25" s="190"/>
      <c r="O25" s="151" t="n">
        <v>7</v>
      </c>
      <c r="P25" s="149" t="n">
        <v>12143.43</v>
      </c>
      <c r="Q25" s="149" t="n">
        <f aca="false">R25+S25</f>
        <v>10769.07</v>
      </c>
      <c r="R25" s="149" t="n">
        <v>10769.07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4</v>
      </c>
      <c r="I26" s="165" t="n">
        <v>2</v>
      </c>
      <c r="J26" s="165" t="n">
        <v>2</v>
      </c>
      <c r="K26" s="166" t="n">
        <v>1409.6</v>
      </c>
      <c r="L26" s="166" t="n">
        <f aca="false">M26+N26</f>
        <v>0</v>
      </c>
      <c r="M26" s="166"/>
      <c r="N26" s="156"/>
      <c r="O26" s="157" t="n">
        <v>9</v>
      </c>
      <c r="P26" s="155" t="n">
        <v>19558.2</v>
      </c>
      <c r="Q26" s="155" t="n">
        <f aca="false">R26+S26</f>
        <v>15505.6</v>
      </c>
      <c r="R26" s="155"/>
      <c r="S26" s="156" t="n">
        <v>15505.6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/>
      <c r="N28" s="156" t="n">
        <v>4052.6</v>
      </c>
      <c r="O28" s="157" t="n">
        <v>6</v>
      </c>
      <c r="P28" s="155" t="n">
        <v>19381.4</v>
      </c>
      <c r="Q28" s="155" t="n">
        <f aca="false">R28+S28</f>
        <v>17267.6</v>
      </c>
      <c r="R28" s="155" t="n">
        <f aca="false">5286+2290.6</f>
        <v>7576.6</v>
      </c>
      <c r="S28" s="156" t="n">
        <f aca="false">2819.2+1762+5109.8</f>
        <v>9691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 t="s">
        <v>20</v>
      </c>
      <c r="D29" s="19"/>
      <c r="E29" s="19" t="s">
        <v>278</v>
      </c>
      <c r="F29" s="20"/>
      <c r="G29" s="146" t="s">
        <v>22</v>
      </c>
      <c r="H29" s="147" t="n">
        <v>7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10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 t="n">
        <v>3</v>
      </c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3</v>
      </c>
      <c r="I32" s="154" t="n">
        <v>1</v>
      </c>
      <c r="J32" s="154" t="n">
        <v>1</v>
      </c>
      <c r="K32" s="155" t="n">
        <v>704.8</v>
      </c>
      <c r="L32" s="155" t="n">
        <f aca="false">M32+N32</f>
        <v>704.8</v>
      </c>
      <c r="M32" s="155"/>
      <c r="N32" s="156" t="n">
        <v>704.8</v>
      </c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9</v>
      </c>
      <c r="I35" s="160" t="n">
        <v>6</v>
      </c>
      <c r="J35" s="160" t="n">
        <v>6</v>
      </c>
      <c r="K35" s="161" t="n">
        <v>9138.09</v>
      </c>
      <c r="L35" s="161" t="n">
        <f aca="false">M35+N35</f>
        <v>9138.09</v>
      </c>
      <c r="M35" s="161" t="n">
        <v>4815.55</v>
      </c>
      <c r="N35" s="190" t="n">
        <v>4322.54</v>
      </c>
      <c r="O35" s="151" t="n">
        <v>10</v>
      </c>
      <c r="P35" s="149" t="n">
        <v>39637.95</v>
      </c>
      <c r="Q35" s="149" t="n">
        <f aca="false">R35+S35</f>
        <v>39637.95</v>
      </c>
      <c r="R35" s="149" t="n">
        <v>17818.29</v>
      </c>
      <c r="S35" s="198" t="n">
        <v>21819.66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2</v>
      </c>
      <c r="J36" s="154" t="n">
        <v>2</v>
      </c>
      <c r="K36" s="155" t="n">
        <v>4933.6</v>
      </c>
      <c r="L36" s="155" t="n">
        <f aca="false">M36+N36</f>
        <v>1233.4</v>
      </c>
      <c r="M36" s="155"/>
      <c r="N36" s="156" t="n">
        <v>1233.4</v>
      </c>
      <c r="O36" s="157" t="n">
        <v>5</v>
      </c>
      <c r="P36" s="155" t="n">
        <v>13567.4</v>
      </c>
      <c r="Q36" s="155" t="n">
        <f aca="false">R36+S36</f>
        <v>10219.38</v>
      </c>
      <c r="R36" s="155"/>
      <c r="S36" s="156" t="n">
        <f aca="false">7400.4+1233.4+1585.58</f>
        <v>10219.38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10</v>
      </c>
      <c r="I37" s="160" t="n">
        <v>9</v>
      </c>
      <c r="J37" s="160" t="n">
        <v>11</v>
      </c>
      <c r="K37" s="161" t="n">
        <v>26775.53</v>
      </c>
      <c r="L37" s="161" t="n">
        <f aca="false">M37+N37</f>
        <v>17227.7</v>
      </c>
      <c r="M37" s="161" t="n">
        <v>1924.1</v>
      </c>
      <c r="N37" s="190" t="n">
        <v>15303.6</v>
      </c>
      <c r="O37" s="151" t="n">
        <v>14</v>
      </c>
      <c r="P37" s="149" t="n">
        <v>54101.29</v>
      </c>
      <c r="Q37" s="149" t="n">
        <f aca="false">R37+S37</f>
        <v>52304.25</v>
      </c>
      <c r="R37" s="149" t="n">
        <v>15233.45</v>
      </c>
      <c r="S37" s="198" t="n">
        <v>37070.8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7</v>
      </c>
      <c r="I39" s="148" t="n">
        <v>1</v>
      </c>
      <c r="J39" s="148" t="n">
        <v>1</v>
      </c>
      <c r="K39" s="149" t="n">
        <v>621.99</v>
      </c>
      <c r="L39" s="149" t="n">
        <f aca="false">M39+N39</f>
        <v>621.99</v>
      </c>
      <c r="M39" s="149"/>
      <c r="N39" s="190" t="n">
        <v>621.99</v>
      </c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4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10849.9</v>
      </c>
      <c r="R40" s="166"/>
      <c r="S40" s="167" t="n">
        <v>10849.9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 t="n">
        <v>2</v>
      </c>
      <c r="I41" s="148" t="n">
        <v>1</v>
      </c>
      <c r="J41" s="148" t="n">
        <v>1</v>
      </c>
      <c r="K41" s="149" t="n">
        <v>352.4</v>
      </c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12699.01</v>
      </c>
      <c r="R41" s="149" t="n">
        <v>4593.81</v>
      </c>
      <c r="S41" s="198" t="n">
        <v>8105.2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3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157" t="n">
        <v>4</v>
      </c>
      <c r="P42" s="155" t="n">
        <v>11981.6</v>
      </c>
      <c r="Q42" s="155" t="n">
        <f aca="false">R42+S42</f>
        <v>11981.6</v>
      </c>
      <c r="R42" s="155" t="n">
        <f aca="false">528.6</f>
        <v>528.6</v>
      </c>
      <c r="S42" s="156" t="n">
        <v>11453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5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43</v>
      </c>
      <c r="I47" s="148" t="n">
        <v>39</v>
      </c>
      <c r="J47" s="148" t="n">
        <v>39</v>
      </c>
      <c r="K47" s="149" t="n">
        <v>34720.47</v>
      </c>
      <c r="L47" s="149" t="n">
        <f aca="false">M47+N47</f>
        <v>34720.47</v>
      </c>
      <c r="M47" s="149" t="n">
        <v>14941.16</v>
      </c>
      <c r="N47" s="190" t="n">
        <v>19779.31</v>
      </c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1409.6</v>
      </c>
      <c r="M48" s="155"/>
      <c r="N48" s="156" t="n">
        <v>1409.6</v>
      </c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13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11601.93</v>
      </c>
      <c r="M49" s="161" t="n">
        <v>1830.37</v>
      </c>
      <c r="N49" s="190" t="n">
        <v>9771.56</v>
      </c>
      <c r="O49" s="151" t="n">
        <v>17</v>
      </c>
      <c r="P49" s="149" t="n">
        <v>61726.54</v>
      </c>
      <c r="Q49" s="149" t="n">
        <f aca="false">R49+S49</f>
        <v>47845.54</v>
      </c>
      <c r="R49" s="149" t="n">
        <v>34571.95</v>
      </c>
      <c r="S49" s="198" t="n">
        <v>13273.59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18745.92</v>
      </c>
      <c r="R51" s="161" t="n">
        <v>3805.92</v>
      </c>
      <c r="S51" s="190" t="n">
        <v>14940</v>
      </c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 t="n">
        <v>1</v>
      </c>
      <c r="J52" s="165" t="n">
        <v>1</v>
      </c>
      <c r="K52" s="166" t="n">
        <v>1057.2</v>
      </c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</f>
        <v>5081.89</v>
      </c>
      <c r="S52" s="156" t="n">
        <v>13038.8</v>
      </c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5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 t="n">
        <v>43131.21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56"/>
      <c r="O54" s="168" t="n">
        <v>5</v>
      </c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 t="n">
        <v>1</v>
      </c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 t="n">
        <v>2</v>
      </c>
      <c r="J56" s="154" t="n">
        <v>2</v>
      </c>
      <c r="K56" s="155" t="n">
        <v>1233.4</v>
      </c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11</v>
      </c>
      <c r="I57" s="160" t="n">
        <v>8</v>
      </c>
      <c r="J57" s="160" t="n">
        <v>8</v>
      </c>
      <c r="K57" s="161" t="n">
        <v>10651.29</v>
      </c>
      <c r="L57" s="161" t="n">
        <f aca="false">M57+N57</f>
        <v>5893.89</v>
      </c>
      <c r="M57" s="161" t="n">
        <v>5893.89</v>
      </c>
      <c r="N57" s="190"/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 t="s">
        <v>20</v>
      </c>
      <c r="D59" s="19"/>
      <c r="E59" s="19" t="s">
        <v>278</v>
      </c>
      <c r="F59" s="20"/>
      <c r="G59" s="146" t="s">
        <v>22</v>
      </c>
      <c r="H59" s="173" t="n">
        <v>7</v>
      </c>
      <c r="I59" s="148" t="n">
        <v>2</v>
      </c>
      <c r="J59" s="148" t="n">
        <v>2</v>
      </c>
      <c r="K59" s="149" t="n">
        <v>5127.42</v>
      </c>
      <c r="L59" s="149" t="n">
        <f aca="false">M59+N59</f>
        <v>3717.82</v>
      </c>
      <c r="M59" s="149"/>
      <c r="N59" s="190" t="n">
        <v>3717.82</v>
      </c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5</v>
      </c>
      <c r="I60" s="154"/>
      <c r="J60" s="154"/>
      <c r="K60" s="155"/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9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7830.33</v>
      </c>
      <c r="M61" s="161" t="n">
        <v>2238.62</v>
      </c>
      <c r="N61" s="190" t="n">
        <v>5591.71</v>
      </c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4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 t="s">
        <v>20</v>
      </c>
      <c r="D65" s="78"/>
      <c r="E65" s="56" t="s">
        <v>279</v>
      </c>
      <c r="F65" s="38"/>
      <c r="G65" s="158" t="s">
        <v>22</v>
      </c>
      <c r="H65" s="169" t="n">
        <v>16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3383.04</v>
      </c>
      <c r="M65" s="161"/>
      <c r="N65" s="190" t="n">
        <v>3383.04</v>
      </c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2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3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 t="n">
        <v>881</v>
      </c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 t="s">
        <v>33</v>
      </c>
      <c r="D73" s="19" t="s">
        <v>280</v>
      </c>
      <c r="E73" s="19" t="s">
        <v>259</v>
      </c>
      <c r="F73" s="20"/>
      <c r="G73" s="146" t="s">
        <v>22</v>
      </c>
      <c r="H73" s="173" t="n">
        <v>9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21</v>
      </c>
      <c r="I74" s="154" t="n">
        <v>8</v>
      </c>
      <c r="J74" s="154" t="n">
        <v>8</v>
      </c>
      <c r="K74" s="155" t="n">
        <v>9556.2</v>
      </c>
      <c r="L74" s="155" t="n">
        <f aca="false">M74+N74</f>
        <v>0</v>
      </c>
      <c r="M74" s="155"/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4510.72</v>
      </c>
      <c r="M75" s="161" t="n">
        <v>1691.52</v>
      </c>
      <c r="N75" s="190" t="n">
        <v>2819.2</v>
      </c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1</v>
      </c>
      <c r="J76" s="165" t="n">
        <v>1</v>
      </c>
      <c r="K76" s="166" t="n">
        <v>704.8</v>
      </c>
      <c r="L76" s="166" t="n">
        <f aca="false">M76+N76</f>
        <v>704.8</v>
      </c>
      <c r="M76" s="166"/>
      <c r="N76" s="156" t="n">
        <v>704.8</v>
      </c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1162.92</v>
      </c>
      <c r="L77" s="149" t="n">
        <f aca="false">M77+N77</f>
        <v>1162.92</v>
      </c>
      <c r="M77" s="149"/>
      <c r="N77" s="190" t="n">
        <v>1162.92</v>
      </c>
      <c r="O77" s="151" t="n">
        <v>8</v>
      </c>
      <c r="P77" s="149" t="n">
        <v>28069.07</v>
      </c>
      <c r="Q77" s="149" t="n">
        <f aca="false">R77+S77</f>
        <v>28069.07</v>
      </c>
      <c r="R77" s="149" t="n">
        <v>8726.55</v>
      </c>
      <c r="S77" s="190" t="n">
        <v>19342.52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2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7</v>
      </c>
      <c r="I81" s="148" t="n">
        <v>2</v>
      </c>
      <c r="J81" s="148" t="n">
        <v>3</v>
      </c>
      <c r="K81" s="149" t="n">
        <v>3057.07</v>
      </c>
      <c r="L81" s="149" t="n">
        <f aca="false">M81+N81</f>
        <v>3057.07</v>
      </c>
      <c r="M81" s="149" t="n">
        <v>1573.47</v>
      </c>
      <c r="N81" s="190" t="n">
        <v>1483.6</v>
      </c>
      <c r="O81" s="151" t="n">
        <v>5</v>
      </c>
      <c r="P81" s="149" t="n">
        <v>14207.76</v>
      </c>
      <c r="Q81" s="149" t="n">
        <f aca="false">R81+S81</f>
        <v>14207.76</v>
      </c>
      <c r="R81" s="149" t="n">
        <v>8219.9</v>
      </c>
      <c r="S81" s="190" t="n">
        <v>5987.86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32</v>
      </c>
      <c r="I82" s="165" t="n">
        <v>21</v>
      </c>
      <c r="J82" s="165" t="n">
        <v>21</v>
      </c>
      <c r="K82" s="166" t="n">
        <v>23991.8</v>
      </c>
      <c r="L82" s="166" t="n">
        <v>1938.2</v>
      </c>
      <c r="M82" s="166" t="n">
        <v>1938.2</v>
      </c>
      <c r="N82" s="156"/>
      <c r="O82" s="168" t="n">
        <v>25</v>
      </c>
      <c r="P82" s="166" t="n">
        <v>62948.62</v>
      </c>
      <c r="Q82" s="166" t="n">
        <v>12245.9</v>
      </c>
      <c r="R82" s="166" t="n">
        <v>12245.9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5</v>
      </c>
      <c r="I83" s="148" t="n">
        <v>2</v>
      </c>
      <c r="J83" s="148" t="n">
        <v>3</v>
      </c>
      <c r="K83" s="149" t="n">
        <v>5340.62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6</v>
      </c>
      <c r="I84" s="165" t="n">
        <v>3</v>
      </c>
      <c r="J84" s="165" t="n">
        <v>3</v>
      </c>
      <c r="K84" s="166" t="n">
        <v>6343.2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5</v>
      </c>
      <c r="I85" s="148" t="n">
        <v>2</v>
      </c>
      <c r="J85" s="148" t="n">
        <v>2</v>
      </c>
      <c r="K85" s="149" t="n">
        <v>4105.29</v>
      </c>
      <c r="L85" s="149" t="n">
        <f aca="false">M85+N85</f>
        <v>888.19</v>
      </c>
      <c r="M85" s="149" t="n">
        <v>888.19</v>
      </c>
      <c r="N85" s="190"/>
      <c r="O85" s="151" t="n">
        <v>13</v>
      </c>
      <c r="P85" s="149" t="n">
        <v>44101.84</v>
      </c>
      <c r="Q85" s="149" t="n">
        <f aca="false">R85+S85</f>
        <v>19442.54</v>
      </c>
      <c r="R85" s="149" t="n">
        <v>19442.54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5</v>
      </c>
      <c r="I86" s="154" t="n">
        <v>2</v>
      </c>
      <c r="J86" s="154" t="n">
        <v>2</v>
      </c>
      <c r="K86" s="235" t="n">
        <v>4304</v>
      </c>
      <c r="L86" s="155" t="n">
        <f aca="false">M86+N86</f>
        <v>2819.2</v>
      </c>
      <c r="M86" s="155"/>
      <c r="N86" s="156" t="n">
        <v>2819.2</v>
      </c>
      <c r="O86" s="157"/>
      <c r="P86" s="155" t="n">
        <v>5462.2</v>
      </c>
      <c r="Q86" s="155" t="n">
        <f aca="false">R86+S86</f>
        <v>4405</v>
      </c>
      <c r="R86" s="155"/>
      <c r="S86" s="156" t="n">
        <v>4405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5521.12</v>
      </c>
      <c r="R87" s="161" t="n">
        <v>5521.12</v>
      </c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6</v>
      </c>
      <c r="I88" s="154" t="n">
        <v>1</v>
      </c>
      <c r="J88" s="154" t="n">
        <v>1</v>
      </c>
      <c r="K88" s="155" t="n">
        <v>1409.6</v>
      </c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2848.8</v>
      </c>
      <c r="L89" s="161" t="n">
        <f aca="false">M89+N89</f>
        <v>0</v>
      </c>
      <c r="M89" s="161"/>
      <c r="N89" s="190"/>
      <c r="O89" s="163" t="n">
        <v>5</v>
      </c>
      <c r="P89" s="161" t="n">
        <v>34297.64</v>
      </c>
      <c r="Q89" s="161" t="n">
        <f aca="false">R89+S89</f>
        <v>27324.13</v>
      </c>
      <c r="R89" s="161" t="n">
        <v>21210.6</v>
      </c>
      <c r="S89" s="190" t="n">
        <v>6113.53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 t="n">
        <v>1</v>
      </c>
      <c r="J90" s="165" t="n">
        <v>1</v>
      </c>
      <c r="K90" s="166" t="n">
        <v>704.8</v>
      </c>
      <c r="L90" s="161" t="n">
        <f aca="false">M90+N90</f>
        <v>704.8</v>
      </c>
      <c r="M90" s="166" t="n">
        <v>0</v>
      </c>
      <c r="N90" s="156" t="n">
        <v>704.8</v>
      </c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8641.68</f>
        <v>8641.68</v>
      </c>
      <c r="S90" s="156" t="n">
        <f aca="false">3347.8</f>
        <v>3347.8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4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2277.26</v>
      </c>
      <c r="M91" s="149" t="n">
        <v>2277.26</v>
      </c>
      <c r="N91" s="190"/>
      <c r="O91" s="151" t="n">
        <v>3</v>
      </c>
      <c r="P91" s="149" t="n">
        <v>10069.05</v>
      </c>
      <c r="Q91" s="149" t="n">
        <f aca="false">R91+S91</f>
        <v>3239.04</v>
      </c>
      <c r="R91" s="149" t="n">
        <v>3239.04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5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/>
      <c r="N92" s="156" t="n">
        <v>5109.8</v>
      </c>
      <c r="O92" s="157" t="n">
        <v>2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23</v>
      </c>
      <c r="I93" s="160" t="n">
        <v>15</v>
      </c>
      <c r="J93" s="160" t="n">
        <v>16</v>
      </c>
      <c r="K93" s="161" t="n">
        <v>21031.86</v>
      </c>
      <c r="L93" s="161" t="n">
        <f aca="false">M93+N93</f>
        <v>10561.52</v>
      </c>
      <c r="M93" s="161"/>
      <c r="N93" s="190" t="n">
        <v>10561.52</v>
      </c>
      <c r="O93" s="163" t="n">
        <v>22</v>
      </c>
      <c r="P93" s="161" t="n">
        <v>54906.32</v>
      </c>
      <c r="Q93" s="161" t="n">
        <f aca="false">R93+S93</f>
        <v>40347.41</v>
      </c>
      <c r="R93" s="161" t="n">
        <v>22350.87</v>
      </c>
      <c r="S93" s="190" t="n">
        <v>17996.54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21936.9</v>
      </c>
      <c r="R94" s="166"/>
      <c r="S94" s="156" t="n">
        <v>21936.9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13</v>
      </c>
      <c r="I95" s="148" t="n">
        <v>9</v>
      </c>
      <c r="J95" s="148" t="n">
        <v>9</v>
      </c>
      <c r="K95" s="149" t="n">
        <v>5563.84</v>
      </c>
      <c r="L95" s="149" t="n">
        <f aca="false">M95+N95</f>
        <v>5035.24</v>
      </c>
      <c r="M95" s="149" t="n">
        <v>599.08</v>
      </c>
      <c r="N95" s="190" t="n">
        <v>4436.16</v>
      </c>
      <c r="O95" s="151" t="n">
        <v>2</v>
      </c>
      <c r="P95" s="149" t="n">
        <v>12380.09</v>
      </c>
      <c r="Q95" s="149" t="n">
        <f aca="false">R95+S95</f>
        <v>12380.09</v>
      </c>
      <c r="R95" s="149" t="n">
        <v>3600.4</v>
      </c>
      <c r="S95" s="190" t="n">
        <v>8779.69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6</v>
      </c>
      <c r="P96" s="166" t="n">
        <v>8457.6</v>
      </c>
      <c r="Q96" s="166" t="n">
        <f aca="false">R96+S96</f>
        <v>6431.3</v>
      </c>
      <c r="R96" s="166"/>
      <c r="S96" s="156" t="n">
        <f aca="false">6167+264.3</f>
        <v>6431.3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8</v>
      </c>
      <c r="I97" s="148" t="n">
        <v>7</v>
      </c>
      <c r="J97" s="148" t="n">
        <v>7</v>
      </c>
      <c r="K97" s="149" t="n">
        <v>4148.63</v>
      </c>
      <c r="L97" s="149" t="n">
        <f aca="false">M97+N97</f>
        <v>4148.63</v>
      </c>
      <c r="M97" s="149" t="n">
        <v>2293.24</v>
      </c>
      <c r="N97" s="190" t="n">
        <v>1855.39</v>
      </c>
      <c r="O97" s="151" t="n">
        <v>5</v>
      </c>
      <c r="P97" s="149" t="n">
        <v>8651.42</v>
      </c>
      <c r="Q97" s="149" t="n">
        <f aca="false">R97+S97</f>
        <v>8651.42</v>
      </c>
      <c r="R97" s="149" t="n">
        <v>1673.9</v>
      </c>
      <c r="S97" s="190" t="n">
        <v>6977.52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5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7</v>
      </c>
      <c r="P98" s="182" t="n">
        <v>19029.6</v>
      </c>
      <c r="Q98" s="182" t="n">
        <f aca="false">R98+S98</f>
        <v>8986.2</v>
      </c>
      <c r="R98" s="182" t="n">
        <f aca="false">1057.2+2290.6</f>
        <v>3347.8</v>
      </c>
      <c r="S98" s="167" t="n">
        <v>5638.4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 t="n">
        <v>2</v>
      </c>
      <c r="J99" s="154" t="n">
        <v>2</v>
      </c>
      <c r="K99" s="155" t="n">
        <v>7973.05</v>
      </c>
      <c r="L99" s="155" t="n">
        <f aca="false">M99+N99</f>
        <v>0</v>
      </c>
      <c r="M99" s="155"/>
      <c r="N99" s="156"/>
      <c r="O99" s="157" t="n">
        <v>4</v>
      </c>
      <c r="P99" s="155" t="n">
        <v>8281.4</v>
      </c>
      <c r="Q99" s="155" t="n">
        <v>3524</v>
      </c>
      <c r="R99" s="155" t="n">
        <v>3524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5452.69</v>
      </c>
      <c r="M100" s="161" t="n">
        <v>5452.69</v>
      </c>
      <c r="N100" s="190"/>
      <c r="O100" s="163" t="n">
        <v>8</v>
      </c>
      <c r="P100" s="161" t="n">
        <v>35917.6</v>
      </c>
      <c r="Q100" s="161" t="n">
        <f aca="false">R100+S100</f>
        <v>29718.63</v>
      </c>
      <c r="R100" s="161" t="n">
        <v>29718.63</v>
      </c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5</v>
      </c>
      <c r="I102" s="148" t="n">
        <v>3</v>
      </c>
      <c r="J102" s="148" t="n">
        <v>3</v>
      </c>
      <c r="K102" s="149" t="n">
        <v>5612.43</v>
      </c>
      <c r="L102" s="149" t="n">
        <f aca="false">M102+N102</f>
        <v>3473.61</v>
      </c>
      <c r="M102" s="149" t="n">
        <v>3473.61</v>
      </c>
      <c r="N102" s="190"/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12611.29</v>
      </c>
      <c r="M104" s="149" t="n">
        <v>2195.46</v>
      </c>
      <c r="N104" s="190" t="n">
        <v>10415.83</v>
      </c>
      <c r="O104" s="151" t="n">
        <v>2</v>
      </c>
      <c r="P104" s="149" t="n">
        <v>8372.97</v>
      </c>
      <c r="Q104" s="149" t="n">
        <f aca="false">R104+S104</f>
        <v>8372.97</v>
      </c>
      <c r="R104" s="149" t="n">
        <v>1321.5</v>
      </c>
      <c r="S104" s="190" t="n">
        <v>7051.47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 t="n">
        <v>1</v>
      </c>
      <c r="J105" s="165" t="n">
        <v>1</v>
      </c>
      <c r="K105" s="166" t="n">
        <v>2114.4</v>
      </c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10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6281.55</v>
      </c>
      <c r="M108" s="161" t="n">
        <v>704.8</v>
      </c>
      <c r="N108" s="190" t="n">
        <v>5576.75</v>
      </c>
      <c r="O108" s="163" t="n">
        <v>3</v>
      </c>
      <c r="P108" s="161" t="n">
        <v>10582.46</v>
      </c>
      <c r="Q108" s="161" t="n">
        <f aca="false">R108+S108</f>
        <v>5828.06</v>
      </c>
      <c r="R108" s="161" t="n">
        <v>5828.06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3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22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12299.99</v>
      </c>
      <c r="M110" s="161" t="n">
        <v>1569.94</v>
      </c>
      <c r="N110" s="190" t="n">
        <v>10730.05</v>
      </c>
      <c r="O110" s="163" t="n">
        <v>20</v>
      </c>
      <c r="P110" s="161" t="n">
        <v>33342.82</v>
      </c>
      <c r="Q110" s="161" t="n">
        <f aca="false">R110+S110</f>
        <v>32814.22</v>
      </c>
      <c r="R110" s="161" t="n">
        <v>24550.45</v>
      </c>
      <c r="S110" s="190" t="n">
        <v>8263.77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 t="n">
        <v>1</v>
      </c>
      <c r="J112" s="148" t="n">
        <v>1</v>
      </c>
      <c r="K112" s="149" t="n">
        <v>528.6</v>
      </c>
      <c r="L112" s="149" t="n">
        <f aca="false">M112+N112</f>
        <v>528.6</v>
      </c>
      <c r="M112" s="149"/>
      <c r="N112" s="190" t="n">
        <v>528.6</v>
      </c>
      <c r="O112" s="151" t="n">
        <v>1</v>
      </c>
      <c r="P112" s="149" t="n">
        <v>1162.92</v>
      </c>
      <c r="Q112" s="149" t="n">
        <f aca="false">R112+S112</f>
        <v>1162.92</v>
      </c>
      <c r="R112" s="149"/>
      <c r="S112" s="190" t="n">
        <v>1162.92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17</v>
      </c>
      <c r="I114" s="148" t="n">
        <v>12</v>
      </c>
      <c r="J114" s="148" t="n">
        <v>14</v>
      </c>
      <c r="K114" s="149" t="n">
        <v>15787.05</v>
      </c>
      <c r="L114" s="149" t="n">
        <f aca="false">M114+N114</f>
        <v>11020.18</v>
      </c>
      <c r="M114" s="149" t="n">
        <v>6747.33</v>
      </c>
      <c r="N114" s="190" t="n">
        <v>4272.85</v>
      </c>
      <c r="O114" s="151" t="n">
        <v>15</v>
      </c>
      <c r="P114" s="149" t="n">
        <v>19146</v>
      </c>
      <c r="Q114" s="149" t="n">
        <f aca="false">R114+S114</f>
        <v>12627.56</v>
      </c>
      <c r="R114" s="149" t="n">
        <v>8224.14</v>
      </c>
      <c r="S114" s="190" t="n">
        <v>4403.42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18</v>
      </c>
      <c r="I115" s="165" t="n">
        <v>6</v>
      </c>
      <c r="J115" s="165" t="n">
        <v>6</v>
      </c>
      <c r="K115" s="166" t="n">
        <v>7752.8</v>
      </c>
      <c r="L115" s="166" t="n">
        <v>2995.4</v>
      </c>
      <c r="M115" s="166" t="n">
        <v>2995.4</v>
      </c>
      <c r="N115" s="156"/>
      <c r="O115" s="168" t="n">
        <v>10</v>
      </c>
      <c r="P115" s="166" t="n">
        <v>27222.9</v>
      </c>
      <c r="Q115" s="166" t="n">
        <v>12950.7</v>
      </c>
      <c r="R115" s="166" t="n">
        <v>12950.7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17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8527.08</v>
      </c>
      <c r="M116" s="149"/>
      <c r="N116" s="190" t="n">
        <v>8527.08</v>
      </c>
      <c r="O116" s="151" t="n">
        <v>14</v>
      </c>
      <c r="P116" s="149" t="n">
        <v>48557.24</v>
      </c>
      <c r="Q116" s="149" t="n">
        <f aca="false">R116+S116</f>
        <v>24491.76</v>
      </c>
      <c r="R116" s="149" t="n">
        <v>24491.76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17</v>
      </c>
      <c r="I118" s="160" t="n">
        <v>5</v>
      </c>
      <c r="J118" s="160" t="n">
        <v>5</v>
      </c>
      <c r="K118" s="161" t="n">
        <v>11259.18</v>
      </c>
      <c r="L118" s="161" t="n">
        <f aca="false">M118+N118</f>
        <v>4915.98</v>
      </c>
      <c r="M118" s="161" t="n">
        <v>3805.92</v>
      </c>
      <c r="N118" s="190" t="n">
        <v>1110.06</v>
      </c>
      <c r="O118" s="163" t="n">
        <v>9</v>
      </c>
      <c r="P118" s="161" t="n">
        <v>59549.41</v>
      </c>
      <c r="Q118" s="161" t="n">
        <f aca="false">R118+S118</f>
        <v>55873.9</v>
      </c>
      <c r="R118" s="161" t="n">
        <v>27118.06</v>
      </c>
      <c r="S118" s="190" t="n">
        <v>28755.84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2</v>
      </c>
      <c r="K120" s="166" t="n">
        <v>4193.56</v>
      </c>
      <c r="L120" s="166" t="n">
        <f aca="false">M120+N120</f>
        <v>2290.6</v>
      </c>
      <c r="M120" s="166" t="n">
        <v>2266.65</v>
      </c>
      <c r="N120" s="156" t="n">
        <v>23.95</v>
      </c>
      <c r="O120" s="168" t="n">
        <v>7</v>
      </c>
      <c r="P120" s="166" t="n">
        <v>29143.12</v>
      </c>
      <c r="Q120" s="166" t="n">
        <f aca="false">R120+S120</f>
        <v>29167.43</v>
      </c>
      <c r="R120" s="166" t="n">
        <v>29167.43</v>
      </c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6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5</v>
      </c>
      <c r="J123" s="160" t="n">
        <v>6</v>
      </c>
      <c r="K123" s="161" t="n">
        <v>5246.27</v>
      </c>
      <c r="L123" s="161" t="n">
        <f aca="false">M123+N123</f>
        <v>2133.78</v>
      </c>
      <c r="M123" s="161" t="n">
        <v>1436.03</v>
      </c>
      <c r="N123" s="190" t="n">
        <v>697.75</v>
      </c>
      <c r="O123" s="163" t="n">
        <v>8</v>
      </c>
      <c r="P123" s="161" t="n">
        <v>22461.42</v>
      </c>
      <c r="Q123" s="161" t="n">
        <f aca="false">R123+S123</f>
        <v>17787.53</v>
      </c>
      <c r="R123" s="161" t="n">
        <v>7694.53</v>
      </c>
      <c r="S123" s="190" t="n">
        <v>10093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10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3</v>
      </c>
      <c r="P124" s="155" t="n">
        <v>6871.8</v>
      </c>
      <c r="Q124" s="155" t="n">
        <f aca="false">R124+S124</f>
        <v>1585.8</v>
      </c>
      <c r="R124" s="155"/>
      <c r="S124" s="156" t="n">
        <v>1585.8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6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2223.64</v>
      </c>
      <c r="M127" s="149" t="n">
        <v>1569.94</v>
      </c>
      <c r="N127" s="190" t="n">
        <v>653.7</v>
      </c>
      <c r="O127" s="151" t="n">
        <v>6</v>
      </c>
      <c r="P127" s="149" t="n">
        <v>19174.92</v>
      </c>
      <c r="Q127" s="149" t="n">
        <f aca="false">R127+S127</f>
        <v>19174.92</v>
      </c>
      <c r="R127" s="149" t="n">
        <v>14088.14</v>
      </c>
      <c r="S127" s="190" t="n">
        <v>5086.78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14</v>
      </c>
      <c r="I128" s="165" t="n">
        <v>8</v>
      </c>
      <c r="J128" s="165" t="n">
        <v>8</v>
      </c>
      <c r="K128" s="166" t="n">
        <v>5109.8</v>
      </c>
      <c r="L128" s="166" t="n">
        <v>1409.6</v>
      </c>
      <c r="M128" s="166" t="n">
        <v>1409.6</v>
      </c>
      <c r="N128" s="156"/>
      <c r="O128" s="168" t="n">
        <v>11</v>
      </c>
      <c r="P128" s="166" t="n">
        <v>28192</v>
      </c>
      <c r="Q128" s="166" t="n">
        <v>4933.6</v>
      </c>
      <c r="R128" s="166" t="n">
        <v>4933.6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18</v>
      </c>
      <c r="I129" s="148" t="n">
        <v>6</v>
      </c>
      <c r="J129" s="148" t="n">
        <v>7</v>
      </c>
      <c r="K129" s="149" t="n">
        <v>14834.62</v>
      </c>
      <c r="L129" s="149" t="n">
        <f aca="false">M129+N129</f>
        <v>14834.62</v>
      </c>
      <c r="M129" s="149" t="n">
        <v>6364.34</v>
      </c>
      <c r="N129" s="190" t="n">
        <v>8470.28</v>
      </c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10</v>
      </c>
      <c r="I130" s="188" t="n">
        <v>3</v>
      </c>
      <c r="J130" s="188" t="n">
        <v>3</v>
      </c>
      <c r="K130" s="189" t="n">
        <v>1938.2</v>
      </c>
      <c r="L130" s="189" t="n">
        <f aca="false">M130+N130</f>
        <v>1233.4</v>
      </c>
      <c r="M130" s="189"/>
      <c r="N130" s="167" t="n">
        <f aca="false">704.8+528.6</f>
        <v>1233.4</v>
      </c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5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 t="n">
        <v>1</v>
      </c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21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4493.1</v>
      </c>
      <c r="M134" s="161" t="n">
        <v>2378.7</v>
      </c>
      <c r="N134" s="190" t="n">
        <v>2114.4</v>
      </c>
      <c r="O134" s="163" t="n">
        <v>21</v>
      </c>
      <c r="P134" s="161" t="n">
        <v>35029.01</v>
      </c>
      <c r="Q134" s="161" t="n">
        <f aca="false">R134+S134</f>
        <v>27295.59</v>
      </c>
      <c r="R134" s="161" t="n">
        <v>13947.56</v>
      </c>
      <c r="S134" s="190" t="n">
        <v>13348.03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7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2643</v>
      </c>
      <c r="M135" s="182"/>
      <c r="N135" s="167" t="n">
        <v>2643</v>
      </c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3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3968.46</v>
      </c>
      <c r="M137" s="149"/>
      <c r="N137" s="190" t="n">
        <v>3968.46</v>
      </c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13</v>
      </c>
      <c r="I139" s="160" t="n">
        <v>11</v>
      </c>
      <c r="J139" s="160" t="n">
        <v>11</v>
      </c>
      <c r="K139" s="161" t="n">
        <v>14377.92</v>
      </c>
      <c r="L139" s="161" t="n">
        <f aca="false">M139+N139</f>
        <v>14377.92</v>
      </c>
      <c r="M139" s="161" t="n">
        <v>1057.2</v>
      </c>
      <c r="N139" s="190" t="n">
        <v>13320.72</v>
      </c>
      <c r="O139" s="163" t="n">
        <v>6</v>
      </c>
      <c r="P139" s="161" t="n">
        <v>20530.3</v>
      </c>
      <c r="Q139" s="161" t="n">
        <f aca="false">R139+S139</f>
        <v>20530.3</v>
      </c>
      <c r="R139" s="161" t="n">
        <v>7521.1</v>
      </c>
      <c r="S139" s="190" t="n">
        <v>13009.2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3700.2</v>
      </c>
      <c r="M140" s="166"/>
      <c r="N140" s="156" t="n">
        <v>3700.2</v>
      </c>
      <c r="O140" s="168" t="n">
        <v>3</v>
      </c>
      <c r="P140" s="166" t="n">
        <v>5286</v>
      </c>
      <c r="Q140" s="166" t="n">
        <f aca="false">R140+S140</f>
        <v>6519.4</v>
      </c>
      <c r="R140" s="166"/>
      <c r="S140" s="156" t="n">
        <v>6519.4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0</v>
      </c>
      <c r="M141" s="149"/>
      <c r="N141" s="190"/>
      <c r="O141" s="151" t="n">
        <v>5</v>
      </c>
      <c r="P141" s="149" t="n">
        <v>20672.92</v>
      </c>
      <c r="Q141" s="149" t="n">
        <f aca="false">R141+S141</f>
        <v>19139.98</v>
      </c>
      <c r="R141" s="149" t="n">
        <v>19139.98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/>
      <c r="S142" s="156" t="n">
        <v>2290.6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 t="n">
        <v>2</v>
      </c>
      <c r="P143" s="161" t="n">
        <v>20088.08</v>
      </c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26" t="s">
        <v>281</v>
      </c>
      <c r="G144" s="152" t="s">
        <v>26</v>
      </c>
      <c r="H144" s="153" t="n">
        <v>2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 t="n">
        <v>2</v>
      </c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14967.24</v>
      </c>
      <c r="R145" s="161" t="n">
        <v>14967.24</v>
      </c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5682.4</v>
      </c>
      <c r="R146" s="166" t="n">
        <f aca="false">881</f>
        <v>881</v>
      </c>
      <c r="S146" s="156" t="n">
        <v>4801.4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7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11519.11</v>
      </c>
      <c r="M147" s="149"/>
      <c r="N147" s="190" t="n">
        <v>11519.11</v>
      </c>
      <c r="O147" s="151" t="n">
        <v>18</v>
      </c>
      <c r="P147" s="149" t="n">
        <v>41995.38</v>
      </c>
      <c r="Q147" s="149" t="n">
        <f aca="false">R147+S147</f>
        <v>37928.86</v>
      </c>
      <c r="R147" s="149" t="n">
        <v>19516.74</v>
      </c>
      <c r="S147" s="190" t="n">
        <v>18412.12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9</v>
      </c>
      <c r="I148" s="165" t="n">
        <v>5</v>
      </c>
      <c r="J148" s="165" t="n">
        <v>5</v>
      </c>
      <c r="K148" s="166" t="n">
        <v>20333.48</v>
      </c>
      <c r="L148" s="166" t="n">
        <f aca="false">M148+N148</f>
        <v>6343.2</v>
      </c>
      <c r="M148" s="166"/>
      <c r="N148" s="156" t="n">
        <f aca="false">4581.2+1762</f>
        <v>6343.2</v>
      </c>
      <c r="O148" s="157" t="n">
        <v>10</v>
      </c>
      <c r="P148" s="155" t="n">
        <v>30218.3</v>
      </c>
      <c r="Q148" s="155" t="n">
        <f aca="false">R148+S148</f>
        <v>30817.38</v>
      </c>
      <c r="R148" s="155" t="n">
        <v>15329.4</v>
      </c>
      <c r="S148" s="156" t="n">
        <v>15487.98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20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16881.73</v>
      </c>
      <c r="M149" s="149" t="n">
        <v>1494.18</v>
      </c>
      <c r="N149" s="190" t="n">
        <v>15387.55</v>
      </c>
      <c r="O149" s="163" t="n">
        <v>13</v>
      </c>
      <c r="P149" s="161" t="n">
        <v>44245.85</v>
      </c>
      <c r="Q149" s="161" t="n">
        <f aca="false">R149+S149</f>
        <v>44245.85</v>
      </c>
      <c r="R149" s="161" t="n">
        <v>19724.71</v>
      </c>
      <c r="S149" s="190" t="n">
        <v>24521.14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196</v>
      </c>
      <c r="G150" s="164" t="s">
        <v>26</v>
      </c>
      <c r="H150" s="175" t="n">
        <v>2</v>
      </c>
      <c r="I150" s="165" t="n">
        <v>1</v>
      </c>
      <c r="J150" s="165" t="n">
        <v>0</v>
      </c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240" t="s">
        <v>282</v>
      </c>
      <c r="C151" s="19" t="s">
        <v>33</v>
      </c>
      <c r="D151" s="19" t="s">
        <v>283</v>
      </c>
      <c r="E151" s="19" t="s">
        <v>284</v>
      </c>
      <c r="F151" s="20"/>
      <c r="G151" s="146" t="s">
        <v>22</v>
      </c>
      <c r="H151" s="173"/>
      <c r="I151" s="148"/>
      <c r="J151" s="148"/>
      <c r="K151" s="241"/>
      <c r="L151" s="241" t="n">
        <f aca="false">M151+N151</f>
        <v>0</v>
      </c>
      <c r="M151" s="241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240"/>
      <c r="C152" s="19"/>
      <c r="D152" s="19"/>
      <c r="E152" s="19"/>
      <c r="F152" s="26" t="s">
        <v>285</v>
      </c>
      <c r="G152" s="152" t="s">
        <v>23</v>
      </c>
      <c r="H152" s="174" t="n">
        <v>2</v>
      </c>
      <c r="I152" s="154"/>
      <c r="J152" s="154"/>
      <c r="K152" s="242"/>
      <c r="L152" s="242" t="n">
        <f aca="false">M152+N152</f>
        <v>0</v>
      </c>
      <c r="M152" s="242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112</v>
      </c>
      <c r="C153" s="35" t="s">
        <v>20</v>
      </c>
      <c r="D153" s="35" t="s">
        <v>197</v>
      </c>
      <c r="E153" s="35" t="s">
        <v>25</v>
      </c>
      <c r="F153" s="36"/>
      <c r="G153" s="158" t="s">
        <v>22</v>
      </c>
      <c r="H153" s="159" t="n">
        <v>11</v>
      </c>
      <c r="I153" s="160" t="n">
        <v>6</v>
      </c>
      <c r="J153" s="160" t="n">
        <v>7</v>
      </c>
      <c r="K153" s="140" t="n">
        <v>23292.74</v>
      </c>
      <c r="L153" s="140" t="n">
        <f aca="false">M153+N153</f>
        <v>23292.74</v>
      </c>
      <c r="M153" s="140" t="n">
        <v>9984.81</v>
      </c>
      <c r="N153" s="190" t="n">
        <v>13307.93</v>
      </c>
      <c r="O153" s="163" t="n">
        <v>4</v>
      </c>
      <c r="P153" s="161" t="n">
        <v>20244.62</v>
      </c>
      <c r="Q153" s="161" t="n">
        <f aca="false">R153+S153</f>
        <v>20244.62</v>
      </c>
      <c r="R153" s="161" t="n">
        <v>1198.16</v>
      </c>
      <c r="S153" s="190" t="n">
        <v>19046.46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26" t="s">
        <v>198</v>
      </c>
      <c r="G154" s="152" t="s">
        <v>26</v>
      </c>
      <c r="H154" s="171" t="n">
        <v>3</v>
      </c>
      <c r="I154" s="165"/>
      <c r="J154" s="165"/>
      <c r="K154" s="166"/>
      <c r="L154" s="166" t="n">
        <f aca="false">M154+N154</f>
        <v>0</v>
      </c>
      <c r="M154" s="166"/>
      <c r="N154" s="156"/>
      <c r="O154" s="168" t="n">
        <v>1</v>
      </c>
      <c r="P154" s="166" t="n">
        <v>2114.4</v>
      </c>
      <c r="Q154" s="166" t="n">
        <f aca="false">R154+S154</f>
        <v>2114.4</v>
      </c>
      <c r="R154" s="166"/>
      <c r="S154" s="156" t="n">
        <v>2114.4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113</v>
      </c>
      <c r="C155" s="19" t="s">
        <v>20</v>
      </c>
      <c r="D155" s="19"/>
      <c r="E155" s="19" t="s">
        <v>31</v>
      </c>
      <c r="F155" s="36"/>
      <c r="G155" s="146" t="s">
        <v>22</v>
      </c>
      <c r="H155" s="159" t="n">
        <v>10</v>
      </c>
      <c r="I155" s="148" t="n">
        <v>6</v>
      </c>
      <c r="J155" s="148" t="n">
        <v>7</v>
      </c>
      <c r="K155" s="149" t="n">
        <v>13847.41</v>
      </c>
      <c r="L155" s="149" t="n">
        <f aca="false">M155+N155</f>
        <v>7903.02</v>
      </c>
      <c r="M155" s="149" t="n">
        <v>7903.02</v>
      </c>
      <c r="N155" s="190"/>
      <c r="O155" s="151" t="n">
        <v>6</v>
      </c>
      <c r="P155" s="149" t="n">
        <v>12527.12</v>
      </c>
      <c r="Q155" s="149" t="n">
        <f aca="false">R155+S155</f>
        <v>3839.24</v>
      </c>
      <c r="R155" s="149" t="n">
        <v>3839.24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152" t="s">
        <v>26</v>
      </c>
      <c r="H156" s="153"/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114</v>
      </c>
      <c r="C157" s="35" t="s">
        <v>20</v>
      </c>
      <c r="D157" s="95"/>
      <c r="E157" s="35" t="s">
        <v>25</v>
      </c>
      <c r="F157" s="71"/>
      <c r="G157" s="146" t="s">
        <v>22</v>
      </c>
      <c r="H157" s="169" t="n">
        <v>1</v>
      </c>
      <c r="I157" s="160"/>
      <c r="J157" s="160"/>
      <c r="K157" s="161"/>
      <c r="L157" s="161" t="n">
        <f aca="false">M157+N157</f>
        <v>0</v>
      </c>
      <c r="M157" s="161"/>
      <c r="N157" s="190"/>
      <c r="O157" s="163" t="n">
        <v>3</v>
      </c>
      <c r="P157" s="161" t="n">
        <v>4574.09</v>
      </c>
      <c r="Q157" s="161" t="n">
        <f aca="false">R157+S157</f>
        <v>0</v>
      </c>
      <c r="R157" s="161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274</v>
      </c>
      <c r="G158" s="164" t="s">
        <v>26</v>
      </c>
      <c r="H158" s="175" t="n">
        <v>3</v>
      </c>
      <c r="I158" s="165" t="n">
        <v>1</v>
      </c>
      <c r="J158" s="165" t="n">
        <v>1</v>
      </c>
      <c r="K158" s="166" t="n">
        <v>2947.54</v>
      </c>
      <c r="L158" s="166" t="n">
        <f aca="false">M158+N158</f>
        <v>0</v>
      </c>
      <c r="M158" s="166"/>
      <c r="N158" s="156"/>
      <c r="O158" s="168"/>
      <c r="P158" s="166"/>
      <c r="Q158" s="166" t="n">
        <f aca="false">R158+S158</f>
        <v>0</v>
      </c>
      <c r="R158" s="166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243</v>
      </c>
      <c r="C159" s="219"/>
      <c r="D159" s="19"/>
      <c r="E159" s="19"/>
      <c r="F159" s="20"/>
      <c r="G159" s="146" t="s">
        <v>22</v>
      </c>
      <c r="H159" s="173" t="n">
        <v>2</v>
      </c>
      <c r="I159" s="148"/>
      <c r="J159" s="148"/>
      <c r="K159" s="149"/>
      <c r="L159" s="149" t="n">
        <f aca="false">M159+N159</f>
        <v>0</v>
      </c>
      <c r="M159" s="149"/>
      <c r="N159" s="190"/>
      <c r="O159" s="206"/>
      <c r="P159" s="149"/>
      <c r="Q159" s="149" t="n">
        <f aca="false">R159+S159</f>
        <v>0</v>
      </c>
      <c r="R159" s="149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26" t="s">
        <v>275</v>
      </c>
      <c r="G160" s="152" t="s">
        <v>26</v>
      </c>
      <c r="H160" s="174" t="n">
        <v>4</v>
      </c>
      <c r="I160" s="154" t="n">
        <v>1</v>
      </c>
      <c r="J160" s="154" t="n">
        <v>1</v>
      </c>
      <c r="K160" s="155" t="n">
        <v>528.6</v>
      </c>
      <c r="L160" s="155" t="n">
        <f aca="false">M160+N160</f>
        <v>3476.14</v>
      </c>
      <c r="M160" s="155"/>
      <c r="N160" s="156" t="n">
        <v>3476.14</v>
      </c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200</v>
      </c>
      <c r="C161" s="220"/>
      <c r="D161" s="56"/>
      <c r="E161" s="56"/>
      <c r="F161" s="36"/>
      <c r="G161" s="158" t="s">
        <v>22</v>
      </c>
      <c r="H161" s="159" t="n">
        <v>21</v>
      </c>
      <c r="I161" s="160" t="n">
        <v>18</v>
      </c>
      <c r="J161" s="160" t="n">
        <v>18</v>
      </c>
      <c r="K161" s="161" t="n">
        <v>14987.23</v>
      </c>
      <c r="L161" s="161" t="n">
        <f aca="false">M161+N161</f>
        <v>14018.13</v>
      </c>
      <c r="M161" s="161" t="n">
        <v>4517.24</v>
      </c>
      <c r="N161" s="190" t="n">
        <v>9500.89</v>
      </c>
      <c r="O161" s="163"/>
      <c r="P161" s="161"/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57"/>
      <c r="G162" s="152" t="s">
        <v>26</v>
      </c>
      <c r="H162" s="174" t="n">
        <v>4</v>
      </c>
      <c r="I162" s="154" t="n">
        <v>3</v>
      </c>
      <c r="J162" s="154" t="n">
        <v>3</v>
      </c>
      <c r="K162" s="155" t="n">
        <v>4757.4</v>
      </c>
      <c r="L162" s="155" t="n">
        <f aca="false">M162+N162</f>
        <v>4757.4</v>
      </c>
      <c r="M162" s="155"/>
      <c r="N162" s="156" t="n">
        <v>4757.4</v>
      </c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115</v>
      </c>
      <c r="C163" s="56" t="s">
        <v>20</v>
      </c>
      <c r="D163" s="56"/>
      <c r="E163" s="56" t="s">
        <v>116</v>
      </c>
      <c r="F163" s="36"/>
      <c r="G163" s="158" t="s">
        <v>22</v>
      </c>
      <c r="H163" s="159" t="n">
        <v>13</v>
      </c>
      <c r="I163" s="160" t="n">
        <v>7</v>
      </c>
      <c r="J163" s="160" t="n">
        <v>8</v>
      </c>
      <c r="K163" s="161" t="n">
        <v>6070.98</v>
      </c>
      <c r="L163" s="161" t="n">
        <f aca="false">M163+N163</f>
        <v>6070.98</v>
      </c>
      <c r="M163" s="161" t="n">
        <v>2886.16</v>
      </c>
      <c r="N163" s="190" t="n">
        <v>3184.82</v>
      </c>
      <c r="O163" s="163" t="n">
        <v>16</v>
      </c>
      <c r="P163" s="161" t="n">
        <v>38035.34</v>
      </c>
      <c r="Q163" s="161" t="n">
        <f aca="false">R163+S163</f>
        <v>22208.41</v>
      </c>
      <c r="R163" s="161" t="n">
        <v>6775.76</v>
      </c>
      <c r="S163" s="190" t="n">
        <v>15432.65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42" t="s">
        <v>201</v>
      </c>
      <c r="G164" s="164" t="s">
        <v>26</v>
      </c>
      <c r="H164" s="172" t="n">
        <v>8</v>
      </c>
      <c r="I164" s="165" t="n">
        <v>2</v>
      </c>
      <c r="J164" s="165" t="n">
        <v>2</v>
      </c>
      <c r="K164" s="166" t="n">
        <v>5990.8</v>
      </c>
      <c r="L164" s="161" t="n">
        <f aca="false">M164+N164</f>
        <v>1585.8</v>
      </c>
      <c r="M164" s="166"/>
      <c r="N164" s="156" t="n">
        <v>1585.8</v>
      </c>
      <c r="O164" s="168" t="n">
        <v>8</v>
      </c>
      <c r="P164" s="166" t="n">
        <v>881</v>
      </c>
      <c r="Q164" s="166" t="n">
        <f aca="false">R164+S164</f>
        <v>6167</v>
      </c>
      <c r="R164" s="166" t="n">
        <f aca="false">881</f>
        <v>881</v>
      </c>
      <c r="S164" s="156" t="n">
        <v>5286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157</v>
      </c>
      <c r="C165" s="19"/>
      <c r="D165" s="19"/>
      <c r="E165" s="127"/>
      <c r="F165" s="22"/>
      <c r="G165" s="146" t="s">
        <v>22</v>
      </c>
      <c r="H165" s="147" t="n">
        <v>8</v>
      </c>
      <c r="I165" s="148" t="n">
        <v>1</v>
      </c>
      <c r="J165" s="148" t="n">
        <v>1</v>
      </c>
      <c r="K165" s="149" t="n">
        <v>3876.4</v>
      </c>
      <c r="L165" s="149" t="n">
        <f aca="false">M165+N165</f>
        <v>3876.4</v>
      </c>
      <c r="M165" s="149" t="n">
        <v>3876.4</v>
      </c>
      <c r="N165" s="190"/>
      <c r="O165" s="151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17"/>
      <c r="B166" s="18"/>
      <c r="C166" s="18"/>
      <c r="D166" s="18"/>
      <c r="E166" s="127"/>
      <c r="F166" s="26" t="s">
        <v>202</v>
      </c>
      <c r="G166" s="152" t="s">
        <v>26</v>
      </c>
      <c r="H166" s="176" t="n">
        <v>1</v>
      </c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1762</v>
      </c>
      <c r="R166" s="155"/>
      <c r="S166" s="156" t="n">
        <v>1762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117</v>
      </c>
      <c r="C167" s="35" t="s">
        <v>33</v>
      </c>
      <c r="D167" s="35" t="s">
        <v>118</v>
      </c>
      <c r="E167" s="74" t="s">
        <v>25</v>
      </c>
      <c r="F167" s="89"/>
      <c r="G167" s="158" t="s">
        <v>22</v>
      </c>
      <c r="H167" s="169"/>
      <c r="I167" s="160"/>
      <c r="J167" s="160"/>
      <c r="K167" s="161"/>
      <c r="L167" s="161" t="n">
        <f aca="false">M167+N167</f>
        <v>0</v>
      </c>
      <c r="M167" s="161"/>
      <c r="N167" s="190"/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33"/>
      <c r="B168" s="34"/>
      <c r="C168" s="34"/>
      <c r="D168" s="34"/>
      <c r="E168" s="34"/>
      <c r="F168" s="42"/>
      <c r="G168" s="158" t="s">
        <v>23</v>
      </c>
      <c r="H168" s="169"/>
      <c r="I168" s="160"/>
      <c r="J168" s="160"/>
      <c r="K168" s="161"/>
      <c r="L168" s="161" t="n">
        <f aca="false">M168+N168</f>
        <v>0</v>
      </c>
      <c r="M168" s="161"/>
      <c r="N168" s="167"/>
      <c r="O168" s="163" t="n">
        <v>2</v>
      </c>
      <c r="P168" s="161" t="n">
        <v>1762</v>
      </c>
      <c r="Q168" s="161" t="n">
        <f aca="false">R168+S168</f>
        <v>0</v>
      </c>
      <c r="R168" s="161"/>
      <c r="S168" s="167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33"/>
      <c r="B169" s="34"/>
      <c r="C169" s="34"/>
      <c r="D169" s="34"/>
      <c r="E169" s="34"/>
      <c r="F169" s="42"/>
      <c r="G169" s="164" t="s">
        <v>26</v>
      </c>
      <c r="H169" s="153"/>
      <c r="I169" s="165"/>
      <c r="J169" s="165"/>
      <c r="K169" s="166"/>
      <c r="L169" s="166" t="n">
        <f aca="false">M169+N169</f>
        <v>0</v>
      </c>
      <c r="M169" s="166"/>
      <c r="N169" s="156"/>
      <c r="O169" s="168" t="n">
        <v>6</v>
      </c>
      <c r="P169" s="166" t="n">
        <v>4845.5</v>
      </c>
      <c r="Q169" s="166" t="n">
        <f aca="false">R169+S169</f>
        <v>1762</v>
      </c>
      <c r="R169" s="166" t="n">
        <v>1762</v>
      </c>
      <c r="S169" s="156" t="n">
        <v>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119</v>
      </c>
      <c r="C170" s="19" t="s">
        <v>20</v>
      </c>
      <c r="D170" s="19"/>
      <c r="E170" s="19" t="s">
        <v>25</v>
      </c>
      <c r="F170" s="20"/>
      <c r="G170" s="146" t="s">
        <v>22</v>
      </c>
      <c r="H170" s="169"/>
      <c r="I170" s="148"/>
      <c r="J170" s="148"/>
      <c r="K170" s="149"/>
      <c r="L170" s="149" t="n">
        <f aca="false">M170+N170</f>
        <v>0</v>
      </c>
      <c r="M170" s="149"/>
      <c r="N170" s="190"/>
      <c r="O170" s="151" t="n">
        <v>2</v>
      </c>
      <c r="P170" s="149" t="n">
        <v>2643</v>
      </c>
      <c r="Q170" s="149" t="n">
        <f aca="false">R170+S170</f>
        <v>2643</v>
      </c>
      <c r="R170" s="149" t="n">
        <v>2643</v>
      </c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42" t="s">
        <v>203</v>
      </c>
      <c r="G171" s="164" t="s">
        <v>26</v>
      </c>
      <c r="H171" s="175" t="n">
        <v>4</v>
      </c>
      <c r="I171" s="165" t="n">
        <v>2</v>
      </c>
      <c r="J171" s="165" t="n">
        <v>2</v>
      </c>
      <c r="K171" s="166" t="n">
        <v>1233.4</v>
      </c>
      <c r="L171" s="166" t="n">
        <f aca="false">M171+N171</f>
        <v>704.8</v>
      </c>
      <c r="M171" s="166" t="n">
        <v>0</v>
      </c>
      <c r="N171" s="156" t="n">
        <v>704.8</v>
      </c>
      <c r="O171" s="168" t="n">
        <v>2</v>
      </c>
      <c r="P171" s="166" t="n">
        <v>7576.6</v>
      </c>
      <c r="Q171" s="166" t="n">
        <f aca="false">R171+S171</f>
        <v>7400.4</v>
      </c>
      <c r="R171" s="166" t="n">
        <f aca="false">881</f>
        <v>881</v>
      </c>
      <c r="S171" s="156" t="n">
        <f aca="false">2466.8+4052.6</f>
        <v>6519.4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225</v>
      </c>
      <c r="C172" s="19"/>
      <c r="D172" s="19"/>
      <c r="E172" s="19"/>
      <c r="F172" s="20"/>
      <c r="G172" s="146" t="s">
        <v>22</v>
      </c>
      <c r="H172" s="147"/>
      <c r="I172" s="148"/>
      <c r="J172" s="148"/>
      <c r="K172" s="149"/>
      <c r="L172" s="149" t="n">
        <f aca="false">M172+N172</f>
        <v>0</v>
      </c>
      <c r="M172" s="149"/>
      <c r="N172" s="190"/>
      <c r="O172" s="151"/>
      <c r="P172" s="149"/>
      <c r="Q172" s="149" t="n">
        <f aca="false">R172+S172</f>
        <v>0</v>
      </c>
      <c r="R172" s="149"/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17"/>
      <c r="B173" s="18"/>
      <c r="C173" s="18"/>
      <c r="D173" s="18"/>
      <c r="E173" s="18"/>
      <c r="F173" s="26" t="s">
        <v>244</v>
      </c>
      <c r="G173" s="152" t="s">
        <v>23</v>
      </c>
      <c r="H173" s="176" t="n">
        <v>15</v>
      </c>
      <c r="I173" s="154" t="n">
        <v>3</v>
      </c>
      <c r="J173" s="154" t="n">
        <v>3</v>
      </c>
      <c r="K173" s="155" t="n">
        <v>2863</v>
      </c>
      <c r="L173" s="155" t="n">
        <f aca="false">M173+N173</f>
        <v>0</v>
      </c>
      <c r="M173" s="155"/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54"/>
      <c r="B174" s="55" t="s">
        <v>120</v>
      </c>
      <c r="C174" s="56" t="s">
        <v>20</v>
      </c>
      <c r="D174" s="56"/>
      <c r="E174" s="56" t="s">
        <v>25</v>
      </c>
      <c r="F174" s="36"/>
      <c r="G174" s="158" t="s">
        <v>22</v>
      </c>
      <c r="H174" s="169"/>
      <c r="I174" s="160"/>
      <c r="J174" s="160"/>
      <c r="K174" s="161"/>
      <c r="L174" s="161" t="n">
        <f aca="false">M174+N174</f>
        <v>0</v>
      </c>
      <c r="M174" s="161"/>
      <c r="N174" s="190"/>
      <c r="O174" s="163" t="n">
        <v>3</v>
      </c>
      <c r="P174" s="161" t="n">
        <v>3063.78</v>
      </c>
      <c r="Q174" s="161" t="n">
        <f aca="false">R174+S174</f>
        <v>3063.78</v>
      </c>
      <c r="R174" s="161" t="n">
        <v>3063.78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/>
      <c r="C175" s="55"/>
      <c r="D175" s="55"/>
      <c r="E175" s="55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56"/>
      <c r="O175" s="168"/>
      <c r="P175" s="166"/>
      <c r="Q175" s="166" t="n">
        <f aca="false">R175+S175</f>
        <v>0</v>
      </c>
      <c r="R175" s="166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72"/>
      <c r="B176" s="18" t="s">
        <v>158</v>
      </c>
      <c r="C176" s="74"/>
      <c r="D176" s="56" t="s">
        <v>204</v>
      </c>
      <c r="E176" s="74"/>
      <c r="F176" s="53"/>
      <c r="G176" s="146" t="s">
        <v>22</v>
      </c>
      <c r="H176" s="195"/>
      <c r="I176" s="196"/>
      <c r="J176" s="196"/>
      <c r="K176" s="197"/>
      <c r="L176" s="197" t="n">
        <f aca="false">M176+N176</f>
        <v>0</v>
      </c>
      <c r="M176" s="197"/>
      <c r="N176" s="190"/>
      <c r="O176" s="199"/>
      <c r="P176" s="197"/>
      <c r="Q176" s="197" t="n">
        <f aca="false">R176+S176</f>
        <v>0</v>
      </c>
      <c r="R176" s="197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54"/>
      <c r="B177" s="18"/>
      <c r="C177" s="56"/>
      <c r="D177" s="56"/>
      <c r="E177" s="56"/>
      <c r="F177" s="138" t="s">
        <v>205</v>
      </c>
      <c r="G177" s="152" t="s">
        <v>26</v>
      </c>
      <c r="H177" s="153" t="n">
        <v>3</v>
      </c>
      <c r="I177" s="200" t="n">
        <v>2</v>
      </c>
      <c r="J177" s="200" t="n">
        <v>2</v>
      </c>
      <c r="K177" s="201" t="n">
        <v>3524</v>
      </c>
      <c r="L177" s="201" t="n">
        <f aca="false">M177+N177</f>
        <v>0</v>
      </c>
      <c r="M177" s="201"/>
      <c r="N177" s="156"/>
      <c r="O177" s="203"/>
      <c r="P177" s="201"/>
      <c r="Q177" s="201" t="n">
        <f aca="false">R177+S177</f>
        <v>0</v>
      </c>
      <c r="R177" s="201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33"/>
      <c r="B178" s="34" t="s">
        <v>152</v>
      </c>
      <c r="C178" s="35" t="s">
        <v>20</v>
      </c>
      <c r="D178" s="35"/>
      <c r="E178" s="35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4</v>
      </c>
      <c r="P178" s="161" t="n">
        <v>7400.4</v>
      </c>
      <c r="Q178" s="161" t="n">
        <f aca="false">R178+S178</f>
        <v>7400.4</v>
      </c>
      <c r="R178" s="161" t="n">
        <v>2819.2</v>
      </c>
      <c r="S178" s="190" t="n">
        <v>4581.2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206</v>
      </c>
      <c r="G179" s="164" t="s">
        <v>26</v>
      </c>
      <c r="H179" s="171" t="n">
        <v>4</v>
      </c>
      <c r="I179" s="165"/>
      <c r="J179" s="165"/>
      <c r="K179" s="166"/>
      <c r="L179" s="166" t="n">
        <v>0</v>
      </c>
      <c r="M179" s="166" t="n">
        <v>0</v>
      </c>
      <c r="N179" s="156"/>
      <c r="O179" s="168" t="n">
        <v>4</v>
      </c>
      <c r="P179" s="166" t="n">
        <v>7048</v>
      </c>
      <c r="Q179" s="161" t="n">
        <f aca="false">R179+S179</f>
        <v>6959.9</v>
      </c>
      <c r="R179" s="166" t="n">
        <v>2731.1</v>
      </c>
      <c r="S179" s="156" t="n">
        <v>4228.8</v>
      </c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122</v>
      </c>
      <c r="C180" s="19" t="s">
        <v>20</v>
      </c>
      <c r="D180" s="19"/>
      <c r="E180" s="19" t="s">
        <v>116</v>
      </c>
      <c r="F180" s="20"/>
      <c r="G180" s="146" t="s">
        <v>22</v>
      </c>
      <c r="H180" s="159" t="n">
        <v>26</v>
      </c>
      <c r="I180" s="148" t="n">
        <v>21</v>
      </c>
      <c r="J180" s="148" t="n">
        <v>25</v>
      </c>
      <c r="K180" s="149" t="n">
        <v>36711.89</v>
      </c>
      <c r="L180" s="149" t="n">
        <f aca="false">M180+N180</f>
        <v>32759.12</v>
      </c>
      <c r="M180" s="149" t="n">
        <v>11563.14</v>
      </c>
      <c r="N180" s="190" t="n">
        <v>21195.98</v>
      </c>
      <c r="O180" s="151" t="n">
        <v>25</v>
      </c>
      <c r="P180" s="149" t="n">
        <v>83681.13</v>
      </c>
      <c r="Q180" s="149" t="n">
        <f aca="false">R180+S180</f>
        <v>61568.09</v>
      </c>
      <c r="R180" s="149" t="n">
        <v>38935.35</v>
      </c>
      <c r="S180" s="190" t="n">
        <v>22632.74</v>
      </c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57"/>
      <c r="G181" s="152" t="s">
        <v>26</v>
      </c>
      <c r="H181" s="153"/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123</v>
      </c>
      <c r="C182" s="35" t="s">
        <v>20</v>
      </c>
      <c r="D182" s="35"/>
      <c r="E182" s="35" t="s">
        <v>25</v>
      </c>
      <c r="F182" s="36"/>
      <c r="G182" s="146" t="s">
        <v>22</v>
      </c>
      <c r="H182" s="159" t="n">
        <v>3</v>
      </c>
      <c r="I182" s="160" t="n">
        <v>3</v>
      </c>
      <c r="J182" s="160" t="n">
        <v>3</v>
      </c>
      <c r="K182" s="161" t="n">
        <v>2255.36</v>
      </c>
      <c r="L182" s="161" t="n">
        <f aca="false">M182+N182</f>
        <v>2255.36</v>
      </c>
      <c r="M182" s="161" t="n">
        <v>881</v>
      </c>
      <c r="N182" s="190" t="n">
        <v>1374.36</v>
      </c>
      <c r="O182" s="163" t="n">
        <v>6</v>
      </c>
      <c r="P182" s="161" t="n">
        <v>10868.41</v>
      </c>
      <c r="Q182" s="161" t="n">
        <f aca="false">R182+S182</f>
        <v>10868.41</v>
      </c>
      <c r="R182" s="161" t="n">
        <v>10269.33</v>
      </c>
      <c r="S182" s="190" t="n">
        <v>599.08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207</v>
      </c>
      <c r="G183" s="164" t="s">
        <v>26</v>
      </c>
      <c r="H183" s="153" t="n">
        <v>2</v>
      </c>
      <c r="I183" s="165"/>
      <c r="J183" s="165"/>
      <c r="K183" s="166"/>
      <c r="L183" s="161" t="n">
        <f aca="false">M183+N183</f>
        <v>0</v>
      </c>
      <c r="M183" s="166" t="n">
        <v>0</v>
      </c>
      <c r="N183" s="156"/>
      <c r="O183" s="168" t="n">
        <v>1</v>
      </c>
      <c r="P183" s="166"/>
      <c r="Q183" s="166" t="n">
        <f aca="false">R183+S183</f>
        <v>881</v>
      </c>
      <c r="R183" s="166" t="n">
        <f aca="false">881</f>
        <v>881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124</v>
      </c>
      <c r="C184" s="19" t="s">
        <v>20</v>
      </c>
      <c r="D184" s="19"/>
      <c r="E184" s="19" t="s">
        <v>88</v>
      </c>
      <c r="F184" s="20"/>
      <c r="G184" s="146" t="s">
        <v>22</v>
      </c>
      <c r="H184" s="159" t="n">
        <v>9</v>
      </c>
      <c r="I184" s="148" t="n">
        <v>5</v>
      </c>
      <c r="J184" s="148" t="n">
        <v>5</v>
      </c>
      <c r="K184" s="149" t="n">
        <v>9703.52</v>
      </c>
      <c r="L184" s="149" t="n">
        <f aca="false">M184+N184</f>
        <v>5959.27</v>
      </c>
      <c r="M184" s="149"/>
      <c r="N184" s="190" t="n">
        <v>5959.27</v>
      </c>
      <c r="O184" s="151" t="n">
        <v>7</v>
      </c>
      <c r="P184" s="149" t="n">
        <v>19070.72</v>
      </c>
      <c r="Q184" s="149" t="n">
        <f aca="false">R184+S184</f>
        <v>19070.72</v>
      </c>
      <c r="R184" s="149" t="n">
        <v>14475.42</v>
      </c>
      <c r="S184" s="190" t="n">
        <v>4595.3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42" t="s">
        <v>245</v>
      </c>
      <c r="G185" s="164" t="s">
        <v>23</v>
      </c>
      <c r="H185" s="172" t="n">
        <v>7</v>
      </c>
      <c r="I185" s="165" t="n">
        <v>1</v>
      </c>
      <c r="J185" s="165" t="n">
        <v>1</v>
      </c>
      <c r="K185" s="166" t="n">
        <v>528.6</v>
      </c>
      <c r="L185" s="166" t="n">
        <v>0</v>
      </c>
      <c r="M185" s="166"/>
      <c r="N185" s="156"/>
      <c r="O185" s="168" t="n">
        <v>6</v>
      </c>
      <c r="P185" s="166" t="n">
        <v>9061.9</v>
      </c>
      <c r="Q185" s="166" t="n">
        <v>3976.4</v>
      </c>
      <c r="R185" s="166" t="n">
        <v>3976.4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208</v>
      </c>
      <c r="C186" s="19"/>
      <c r="D186" s="19"/>
      <c r="E186" s="127"/>
      <c r="F186" s="20"/>
      <c r="G186" s="146" t="s">
        <v>22</v>
      </c>
      <c r="H186" s="173" t="n">
        <v>26</v>
      </c>
      <c r="I186" s="148" t="n">
        <v>3</v>
      </c>
      <c r="J186" s="148" t="n">
        <v>3</v>
      </c>
      <c r="K186" s="149" t="n">
        <v>3728.39</v>
      </c>
      <c r="L186" s="149" t="n">
        <f aca="false">M186+N186</f>
        <v>2396.32</v>
      </c>
      <c r="M186" s="149" t="n">
        <v>2396.32</v>
      </c>
      <c r="N186" s="190"/>
      <c r="O186" s="151"/>
      <c r="P186" s="149"/>
      <c r="Q186" s="149" t="n">
        <f aca="false">R186+S186</f>
        <v>0</v>
      </c>
      <c r="R186" s="149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28"/>
      <c r="F187" s="26" t="s">
        <v>246</v>
      </c>
      <c r="G187" s="152" t="s">
        <v>23</v>
      </c>
      <c r="H187" s="174" t="n">
        <v>6</v>
      </c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125</v>
      </c>
      <c r="C188" s="35" t="s">
        <v>33</v>
      </c>
      <c r="D188" s="35" t="s">
        <v>126</v>
      </c>
      <c r="E188" s="35" t="s">
        <v>127</v>
      </c>
      <c r="F188" s="36"/>
      <c r="G188" s="158" t="s">
        <v>22</v>
      </c>
      <c r="H188" s="159" t="n">
        <v>9</v>
      </c>
      <c r="I188" s="160" t="n">
        <v>5</v>
      </c>
      <c r="J188" s="160" t="n">
        <v>6</v>
      </c>
      <c r="K188" s="161" t="n">
        <v>7126.5</v>
      </c>
      <c r="L188" s="161" t="n">
        <f aca="false">M188+N188</f>
        <v>7126.5</v>
      </c>
      <c r="M188" s="161" t="n">
        <v>2128.14</v>
      </c>
      <c r="N188" s="190" t="n">
        <v>4998.36</v>
      </c>
      <c r="O188" s="163" t="n">
        <v>14</v>
      </c>
      <c r="P188" s="161" t="n">
        <v>33154.57</v>
      </c>
      <c r="Q188" s="161" t="n">
        <f aca="false">R188+S188</f>
        <v>32035.95</v>
      </c>
      <c r="R188" s="161" t="n">
        <v>15275.34</v>
      </c>
      <c r="S188" s="190" t="n">
        <v>16760.61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164" t="s">
        <v>23</v>
      </c>
      <c r="H189" s="171" t="n">
        <v>31</v>
      </c>
      <c r="I189" s="165" t="n">
        <v>6</v>
      </c>
      <c r="J189" s="165" t="n">
        <v>6</v>
      </c>
      <c r="K189" s="166" t="n">
        <v>10924.4</v>
      </c>
      <c r="L189" s="166" t="n">
        <v>2995.4</v>
      </c>
      <c r="M189" s="166" t="n">
        <v>2995.4</v>
      </c>
      <c r="N189" s="156"/>
      <c r="O189" s="168" t="n">
        <v>14</v>
      </c>
      <c r="P189" s="166" t="n">
        <v>34485.64</v>
      </c>
      <c r="Q189" s="166" t="n">
        <v>10924.4</v>
      </c>
      <c r="R189" s="166" t="n">
        <v>10924.4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128</v>
      </c>
      <c r="C190" s="19" t="s">
        <v>20</v>
      </c>
      <c r="D190" s="19"/>
      <c r="E190" s="19" t="s">
        <v>25</v>
      </c>
      <c r="F190" s="20"/>
      <c r="G190" s="146" t="s">
        <v>22</v>
      </c>
      <c r="H190" s="159" t="n">
        <v>17</v>
      </c>
      <c r="I190" s="148" t="n">
        <v>10</v>
      </c>
      <c r="J190" s="148" t="n">
        <v>10</v>
      </c>
      <c r="K190" s="149" t="n">
        <v>10868.49</v>
      </c>
      <c r="L190" s="149" t="n">
        <f aca="false">M190+N190</f>
        <v>10868.49</v>
      </c>
      <c r="M190" s="149" t="n">
        <v>5466.2</v>
      </c>
      <c r="N190" s="190" t="n">
        <v>5402.29</v>
      </c>
      <c r="O190" s="151" t="n">
        <v>24</v>
      </c>
      <c r="P190" s="149" t="n">
        <v>42740.26</v>
      </c>
      <c r="Q190" s="149" t="n">
        <f aca="false">R190+S190</f>
        <v>42740.26</v>
      </c>
      <c r="R190" s="149" t="n">
        <v>7845.15</v>
      </c>
      <c r="S190" s="190" t="n">
        <v>34895.11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71"/>
      <c r="G191" s="164" t="s">
        <v>26</v>
      </c>
      <c r="H191" s="175"/>
      <c r="I191" s="165"/>
      <c r="J191" s="165"/>
      <c r="K191" s="166"/>
      <c r="L191" s="166" t="n">
        <f aca="false">M191+N191</f>
        <v>0</v>
      </c>
      <c r="M191" s="166"/>
      <c r="N191" s="156"/>
      <c r="O191" s="168"/>
      <c r="P191" s="166"/>
      <c r="Q191" s="166" t="n">
        <f aca="false">R191+S191</f>
        <v>0</v>
      </c>
      <c r="R191" s="166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227</v>
      </c>
      <c r="C192" s="19"/>
      <c r="D192" s="19"/>
      <c r="E192" s="19"/>
      <c r="F192" s="20"/>
      <c r="G192" s="204" t="s">
        <v>22</v>
      </c>
      <c r="H192" s="173" t="n">
        <v>2</v>
      </c>
      <c r="I192" s="148" t="n">
        <v>1</v>
      </c>
      <c r="J192" s="148" t="n">
        <v>1</v>
      </c>
      <c r="K192" s="149" t="n">
        <v>621.99</v>
      </c>
      <c r="L192" s="149" t="n">
        <f aca="false">M192+N192</f>
        <v>0</v>
      </c>
      <c r="M192" s="149"/>
      <c r="N192" s="190"/>
      <c r="O192" s="206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207" t="s">
        <v>26</v>
      </c>
      <c r="H193" s="174"/>
      <c r="I193" s="154"/>
      <c r="J193" s="154"/>
      <c r="K193" s="155"/>
      <c r="L193" s="155" t="n">
        <f aca="false">M193+N193</f>
        <v>0</v>
      </c>
      <c r="M193" s="155"/>
      <c r="N193" s="156"/>
      <c r="O193" s="209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129</v>
      </c>
      <c r="C194" s="35" t="s">
        <v>38</v>
      </c>
      <c r="D194" s="35" t="s">
        <v>130</v>
      </c>
      <c r="E194" s="35" t="s">
        <v>25</v>
      </c>
      <c r="F194" s="36"/>
      <c r="G194" s="158" t="s">
        <v>22</v>
      </c>
      <c r="H194" s="159" t="n">
        <v>11</v>
      </c>
      <c r="I194" s="160" t="n">
        <v>8</v>
      </c>
      <c r="J194" s="160" t="n">
        <v>8</v>
      </c>
      <c r="K194" s="161" t="n">
        <v>7208.26</v>
      </c>
      <c r="L194" s="161" t="n">
        <f aca="false">M194+N194</f>
        <v>5680.61</v>
      </c>
      <c r="M194" s="161" t="n">
        <v>3147.73</v>
      </c>
      <c r="N194" s="190" t="n">
        <v>2532.88</v>
      </c>
      <c r="O194" s="163" t="n">
        <v>3</v>
      </c>
      <c r="P194" s="161" t="n">
        <v>55205.85</v>
      </c>
      <c r="Q194" s="161" t="n">
        <f aca="false">R194+S194</f>
        <v>44463.45</v>
      </c>
      <c r="R194" s="161" t="n">
        <v>44463.45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209</v>
      </c>
      <c r="G195" s="164" t="s">
        <v>26</v>
      </c>
      <c r="H195" s="153" t="n">
        <v>3</v>
      </c>
      <c r="I195" s="165" t="n">
        <v>1</v>
      </c>
      <c r="J195" s="165" t="n">
        <v>1</v>
      </c>
      <c r="K195" s="166" t="n">
        <v>1762</v>
      </c>
      <c r="L195" s="161" t="n">
        <f aca="false">M195+N195</f>
        <v>0</v>
      </c>
      <c r="M195" s="166" t="n">
        <v>0</v>
      </c>
      <c r="N195" s="156"/>
      <c r="O195" s="168" t="n">
        <v>7</v>
      </c>
      <c r="P195" s="166" t="n">
        <v>20590.6</v>
      </c>
      <c r="Q195" s="166" t="n">
        <f aca="false">R195+S195</f>
        <v>16374.2</v>
      </c>
      <c r="R195" s="166" t="n">
        <f aca="false">881+881</f>
        <v>1762</v>
      </c>
      <c r="S195" s="167" t="n">
        <v>14612.2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17"/>
      <c r="B196" s="18" t="s">
        <v>131</v>
      </c>
      <c r="C196" s="19" t="s">
        <v>38</v>
      </c>
      <c r="D196" s="19" t="s">
        <v>130</v>
      </c>
      <c r="E196" s="19" t="s">
        <v>25</v>
      </c>
      <c r="F196" s="20"/>
      <c r="G196" s="146" t="s">
        <v>22</v>
      </c>
      <c r="H196" s="159" t="n">
        <v>9</v>
      </c>
      <c r="I196" s="148" t="n">
        <v>7</v>
      </c>
      <c r="J196" s="148" t="n">
        <v>11</v>
      </c>
      <c r="K196" s="149" t="n">
        <v>25996.1</v>
      </c>
      <c r="L196" s="149" t="n">
        <f aca="false">M196+N196</f>
        <v>25996.1</v>
      </c>
      <c r="M196" s="149" t="n">
        <v>13633.47</v>
      </c>
      <c r="N196" s="190" t="n">
        <v>12362.63</v>
      </c>
      <c r="O196" s="151" t="n">
        <v>14</v>
      </c>
      <c r="P196" s="149" t="n">
        <v>65810.62</v>
      </c>
      <c r="Q196" s="149" t="n">
        <f aca="false">R196+S196</f>
        <v>58274.05</v>
      </c>
      <c r="R196" s="149" t="n">
        <v>55278.65</v>
      </c>
      <c r="S196" s="198" t="n">
        <v>2995.4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17"/>
      <c r="B197" s="18"/>
      <c r="C197" s="18"/>
      <c r="D197" s="18"/>
      <c r="E197" s="18"/>
      <c r="F197" s="26" t="s">
        <v>210</v>
      </c>
      <c r="G197" s="152" t="s">
        <v>26</v>
      </c>
      <c r="H197" s="153" t="n">
        <v>3</v>
      </c>
      <c r="I197" s="154" t="n">
        <v>2</v>
      </c>
      <c r="J197" s="154" t="n">
        <v>2</v>
      </c>
      <c r="K197" s="155" t="n">
        <v>1585.8</v>
      </c>
      <c r="L197" s="155" t="n">
        <f aca="false">M197+N197</f>
        <v>1585.8</v>
      </c>
      <c r="M197" s="155"/>
      <c r="N197" s="156" t="n">
        <v>1585.8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33"/>
      <c r="B198" s="34" t="s">
        <v>132</v>
      </c>
      <c r="C198" s="35" t="s">
        <v>20</v>
      </c>
      <c r="D198" s="35"/>
      <c r="E198" s="35" t="s">
        <v>69</v>
      </c>
      <c r="F198" s="38"/>
      <c r="G198" s="146" t="s">
        <v>22</v>
      </c>
      <c r="H198" s="159" t="n">
        <v>8</v>
      </c>
      <c r="I198" s="160" t="n">
        <v>7</v>
      </c>
      <c r="J198" s="160" t="n">
        <v>11</v>
      </c>
      <c r="K198" s="161" t="n">
        <v>23368.97</v>
      </c>
      <c r="L198" s="161" t="n">
        <f aca="false">M198+N198</f>
        <v>23368.97</v>
      </c>
      <c r="M198" s="161" t="n">
        <v>1973.48</v>
      </c>
      <c r="N198" s="190" t="n">
        <v>21395.49</v>
      </c>
      <c r="O198" s="163" t="n">
        <v>11</v>
      </c>
      <c r="P198" s="161" t="n">
        <v>34976.18</v>
      </c>
      <c r="Q198" s="161" t="n">
        <f aca="false">R198+S198</f>
        <v>28827.93</v>
      </c>
      <c r="R198" s="161" t="n">
        <v>28827.93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33"/>
      <c r="B199" s="34"/>
      <c r="C199" s="34"/>
      <c r="D199" s="34"/>
      <c r="E199" s="34"/>
      <c r="F199" s="42" t="s">
        <v>211</v>
      </c>
      <c r="G199" s="164" t="s">
        <v>26</v>
      </c>
      <c r="H199" s="153" t="n">
        <v>8</v>
      </c>
      <c r="I199" s="165"/>
      <c r="J199" s="165"/>
      <c r="K199" s="166"/>
      <c r="L199" s="166" t="n">
        <f aca="false">M199+N199</f>
        <v>0</v>
      </c>
      <c r="M199" s="166"/>
      <c r="N199" s="156"/>
      <c r="O199" s="168" t="n">
        <v>1</v>
      </c>
      <c r="P199" s="166" t="n">
        <v>3700.2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133</v>
      </c>
      <c r="C200" s="74" t="s">
        <v>20</v>
      </c>
      <c r="D200" s="74"/>
      <c r="E200" s="74" t="s">
        <v>25</v>
      </c>
      <c r="F200" s="22"/>
      <c r="G200" s="146" t="s">
        <v>22</v>
      </c>
      <c r="H200" s="159" t="n">
        <v>4</v>
      </c>
      <c r="I200" s="148" t="n">
        <v>2</v>
      </c>
      <c r="J200" s="148" t="n">
        <v>2</v>
      </c>
      <c r="K200" s="149" t="n">
        <v>3312.63</v>
      </c>
      <c r="L200" s="149" t="n">
        <f aca="false">M200+N200</f>
        <v>2784.03</v>
      </c>
      <c r="M200" s="149"/>
      <c r="N200" s="190" t="n">
        <v>2784.03</v>
      </c>
      <c r="O200" s="151" t="n">
        <v>2</v>
      </c>
      <c r="P200" s="149" t="n">
        <v>4329.79</v>
      </c>
      <c r="Q200" s="149" t="n">
        <f aca="false">R200+S200</f>
        <v>4329.79</v>
      </c>
      <c r="R200" s="149" t="n">
        <v>2163.03</v>
      </c>
      <c r="S200" s="190" t="n">
        <v>2166.76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72"/>
      <c r="B201" s="73"/>
      <c r="C201" s="73"/>
      <c r="D201" s="73"/>
      <c r="E201" s="73"/>
      <c r="F201" s="42" t="s">
        <v>212</v>
      </c>
      <c r="G201" s="164" t="s">
        <v>26</v>
      </c>
      <c r="H201" s="171" t="n">
        <v>4</v>
      </c>
      <c r="I201" s="165" t="n">
        <v>1</v>
      </c>
      <c r="J201" s="165" t="n">
        <v>1</v>
      </c>
      <c r="K201" s="166" t="n">
        <v>1409.6</v>
      </c>
      <c r="L201" s="166" t="n">
        <f aca="false">M201+N201</f>
        <v>1409.6</v>
      </c>
      <c r="M201" s="166"/>
      <c r="N201" s="156" t="n">
        <v>1409.6</v>
      </c>
      <c r="O201" s="168" t="n">
        <v>2</v>
      </c>
      <c r="P201" s="166" t="n">
        <v>1321.5</v>
      </c>
      <c r="Q201" s="166" t="n">
        <f aca="false">R201+S201</f>
        <v>1321.5</v>
      </c>
      <c r="R201" s="166"/>
      <c r="S201" s="156" t="n">
        <v>1321.5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134</v>
      </c>
      <c r="C202" s="74" t="s">
        <v>20</v>
      </c>
      <c r="D202" s="74"/>
      <c r="E202" s="74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90"/>
      <c r="O202" s="151" t="n">
        <v>1</v>
      </c>
      <c r="P202" s="149" t="n">
        <v>13019.26</v>
      </c>
      <c r="Q202" s="149" t="n">
        <f aca="false">R202+S202</f>
        <v>13019.26</v>
      </c>
      <c r="R202" s="149" t="n">
        <v>13019.26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72"/>
      <c r="B203" s="73"/>
      <c r="C203" s="73"/>
      <c r="D203" s="73"/>
      <c r="E203" s="73"/>
      <c r="F203" s="42" t="s">
        <v>213</v>
      </c>
      <c r="G203" s="164" t="s">
        <v>26</v>
      </c>
      <c r="H203" s="153" t="n">
        <v>2</v>
      </c>
      <c r="I203" s="165"/>
      <c r="J203" s="165"/>
      <c r="K203" s="166"/>
      <c r="L203" s="166" t="n">
        <f aca="false">M203+N203</f>
        <v>0</v>
      </c>
      <c r="M203" s="166"/>
      <c r="N203" s="156"/>
      <c r="O203" s="168" t="n">
        <v>5</v>
      </c>
      <c r="P203" s="166" t="n">
        <v>23840.15</v>
      </c>
      <c r="Q203" s="166" t="n">
        <f aca="false">R203+S203</f>
        <v>19875.62</v>
      </c>
      <c r="R203" s="166"/>
      <c r="S203" s="156" t="n">
        <v>19875.62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17"/>
      <c r="B204" s="18" t="s">
        <v>135</v>
      </c>
      <c r="C204" s="19" t="s">
        <v>20</v>
      </c>
      <c r="D204" s="19"/>
      <c r="E204" s="19" t="s">
        <v>69</v>
      </c>
      <c r="F204" s="22"/>
      <c r="G204" s="146" t="s">
        <v>22</v>
      </c>
      <c r="H204" s="159" t="n">
        <v>10</v>
      </c>
      <c r="I204" s="148" t="n">
        <v>4</v>
      </c>
      <c r="J204" s="148" t="n">
        <v>4</v>
      </c>
      <c r="K204" s="149" t="n">
        <v>5030.51</v>
      </c>
      <c r="L204" s="149" t="n">
        <f aca="false">M204+N204</f>
        <v>4158.32</v>
      </c>
      <c r="M204" s="149" t="n">
        <v>2995.4</v>
      </c>
      <c r="N204" s="190" t="n">
        <v>1162.92</v>
      </c>
      <c r="O204" s="151" t="n">
        <v>12</v>
      </c>
      <c r="P204" s="149" t="n">
        <v>22594.45</v>
      </c>
      <c r="Q204" s="149" t="n">
        <f aca="false">R204+S204</f>
        <v>16446.2</v>
      </c>
      <c r="R204" s="149" t="n">
        <v>14331.8</v>
      </c>
      <c r="S204" s="190" t="n">
        <v>2114.4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277</v>
      </c>
      <c r="G205" s="152" t="s">
        <v>26</v>
      </c>
      <c r="H205" s="171" t="n">
        <v>6</v>
      </c>
      <c r="I205" s="154"/>
      <c r="J205" s="154"/>
      <c r="K205" s="155"/>
      <c r="L205" s="155" t="n">
        <f aca="false">M205+N205</f>
        <v>0</v>
      </c>
      <c r="M205" s="155"/>
      <c r="N205" s="156"/>
      <c r="O205" s="157" t="n">
        <v>2</v>
      </c>
      <c r="P205" s="155" t="n">
        <v>2292.9</v>
      </c>
      <c r="Q205" s="155" t="n">
        <f aca="false">R205+S205</f>
        <v>792.9</v>
      </c>
      <c r="R205" s="155"/>
      <c r="S205" s="156" t="n">
        <v>792.9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136</v>
      </c>
      <c r="C206" s="35" t="s">
        <v>20</v>
      </c>
      <c r="D206" s="35"/>
      <c r="E206" s="35" t="s">
        <v>98</v>
      </c>
      <c r="F206" s="36"/>
      <c r="G206" s="146" t="s">
        <v>22</v>
      </c>
      <c r="H206" s="159" t="n">
        <v>18</v>
      </c>
      <c r="I206" s="160" t="n">
        <v>9</v>
      </c>
      <c r="J206" s="160" t="n">
        <v>12</v>
      </c>
      <c r="K206" s="161" t="n">
        <v>20218.61</v>
      </c>
      <c r="L206" s="161" t="n">
        <f aca="false">M206+N206</f>
        <v>20218.61</v>
      </c>
      <c r="M206" s="161" t="n">
        <v>7070.9</v>
      </c>
      <c r="N206" s="190" t="n">
        <v>13147.71</v>
      </c>
      <c r="O206" s="163" t="n">
        <v>9</v>
      </c>
      <c r="P206" s="161" t="n">
        <v>14877.54</v>
      </c>
      <c r="Q206" s="161" t="n">
        <f aca="false">R206+S206</f>
        <v>14877.54</v>
      </c>
      <c r="R206" s="161" t="n">
        <v>11139.63</v>
      </c>
      <c r="S206" s="190" t="n">
        <v>3737.91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247</v>
      </c>
      <c r="G207" s="164" t="s">
        <v>23</v>
      </c>
      <c r="H207" s="171" t="n">
        <v>6</v>
      </c>
      <c r="I207" s="165" t="n">
        <v>6</v>
      </c>
      <c r="J207" s="165" t="n">
        <v>6</v>
      </c>
      <c r="K207" s="166" t="n">
        <v>4581.2</v>
      </c>
      <c r="L207" s="166" t="n">
        <f aca="false">M207+N207</f>
        <v>4052.6</v>
      </c>
      <c r="M207" s="166" t="n">
        <v>4052.6</v>
      </c>
      <c r="N207" s="156"/>
      <c r="O207" s="168" t="n">
        <v>6</v>
      </c>
      <c r="P207" s="166" t="n">
        <v>5638.4</v>
      </c>
      <c r="Q207" s="166" t="n">
        <v>1585.8</v>
      </c>
      <c r="R207" s="166" t="n">
        <v>1585.8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137</v>
      </c>
      <c r="C208" s="19" t="s">
        <v>20</v>
      </c>
      <c r="D208" s="19"/>
      <c r="E208" s="19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/>
      <c r="P208" s="149"/>
      <c r="Q208" s="149" t="n">
        <f aca="false">R208+S208</f>
        <v>0</v>
      </c>
      <c r="R208" s="149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20.25" hidden="false" customHeight="true" outlineLevel="0" collapsed="false">
      <c r="A209" s="17"/>
      <c r="B209" s="18"/>
      <c r="C209" s="18"/>
      <c r="D209" s="18"/>
      <c r="E209" s="18"/>
      <c r="F209" s="26" t="s">
        <v>286</v>
      </c>
      <c r="G209" s="152" t="s">
        <v>26</v>
      </c>
      <c r="H209" s="153" t="n">
        <v>8</v>
      </c>
      <c r="I209" s="154" t="n">
        <v>1</v>
      </c>
      <c r="J209" s="154" t="n">
        <v>1</v>
      </c>
      <c r="K209" s="155" t="n">
        <v>1938.2</v>
      </c>
      <c r="L209" s="155" t="n">
        <f aca="false">M209+N209</f>
        <v>0</v>
      </c>
      <c r="M209" s="155"/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138</v>
      </c>
      <c r="C210" s="56" t="s">
        <v>33</v>
      </c>
      <c r="D210" s="56" t="s">
        <v>139</v>
      </c>
      <c r="E210" s="56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90"/>
      <c r="O210" s="163"/>
      <c r="P210" s="161"/>
      <c r="Q210" s="161" t="n">
        <f aca="false">R210+S210</f>
        <v>0</v>
      </c>
      <c r="R210" s="161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214</v>
      </c>
      <c r="G211" s="152" t="s">
        <v>26</v>
      </c>
      <c r="H211" s="171" t="n">
        <v>5</v>
      </c>
      <c r="I211" s="154" t="n">
        <v>1</v>
      </c>
      <c r="J211" s="154" t="n">
        <v>1</v>
      </c>
      <c r="K211" s="155" t="n">
        <v>2466.8</v>
      </c>
      <c r="L211" s="155" t="n">
        <f aca="false">M211+N211</f>
        <v>2466.8</v>
      </c>
      <c r="M211" s="155"/>
      <c r="N211" s="156" t="n">
        <v>2466.8</v>
      </c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33"/>
      <c r="B212" s="34" t="s">
        <v>140</v>
      </c>
      <c r="C212" s="35" t="s">
        <v>20</v>
      </c>
      <c r="D212" s="35"/>
      <c r="E212" s="35" t="s">
        <v>141</v>
      </c>
      <c r="F212" s="36"/>
      <c r="G212" s="146" t="s">
        <v>22</v>
      </c>
      <c r="H212" s="159" t="n">
        <v>13</v>
      </c>
      <c r="I212" s="160" t="n">
        <v>3</v>
      </c>
      <c r="J212" s="160" t="n">
        <v>3</v>
      </c>
      <c r="K212" s="161" t="n">
        <v>3881.13</v>
      </c>
      <c r="L212" s="161" t="n">
        <f aca="false">M212+N212</f>
        <v>3881.13</v>
      </c>
      <c r="M212" s="161" t="n">
        <v>3881.13</v>
      </c>
      <c r="N212" s="190"/>
      <c r="O212" s="163" t="n">
        <v>8</v>
      </c>
      <c r="P212" s="161" t="n">
        <v>21585.86</v>
      </c>
      <c r="Q212" s="161" t="n">
        <f aca="false">R212+S212</f>
        <v>21585.86</v>
      </c>
      <c r="R212" s="161" t="n">
        <v>21585.86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215</v>
      </c>
      <c r="G213" s="164" t="s">
        <v>26</v>
      </c>
      <c r="H213" s="175" t="n">
        <v>1</v>
      </c>
      <c r="I213" s="165"/>
      <c r="J213" s="165"/>
      <c r="K213" s="166"/>
      <c r="L213" s="166" t="n">
        <f aca="false">M213+N213</f>
        <v>0</v>
      </c>
      <c r="M213" s="166"/>
      <c r="N213" s="156"/>
      <c r="O213" s="168"/>
      <c r="P213" s="166"/>
      <c r="Q213" s="166" t="n">
        <f aca="false">R213+S213</f>
        <v>0</v>
      </c>
      <c r="R213" s="166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251</v>
      </c>
      <c r="C214" s="19" t="s">
        <v>20</v>
      </c>
      <c r="D214" s="19"/>
      <c r="E214" s="19" t="s">
        <v>116</v>
      </c>
      <c r="F214" s="20"/>
      <c r="G214" s="146" t="s">
        <v>22</v>
      </c>
      <c r="H214" s="173" t="n">
        <v>4</v>
      </c>
      <c r="I214" s="148" t="n">
        <v>3</v>
      </c>
      <c r="J214" s="148" t="n">
        <v>3</v>
      </c>
      <c r="K214" s="149" t="n">
        <v>3851.92</v>
      </c>
      <c r="L214" s="149"/>
      <c r="M214" s="149"/>
      <c r="N214" s="190"/>
      <c r="O214" s="206"/>
      <c r="P214" s="149"/>
      <c r="Q214" s="149"/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252</v>
      </c>
      <c r="G215" s="152" t="s">
        <v>26</v>
      </c>
      <c r="H215" s="174" t="n">
        <v>5</v>
      </c>
      <c r="I215" s="154"/>
      <c r="J215" s="154"/>
      <c r="K215" s="155"/>
      <c r="L215" s="155"/>
      <c r="M215" s="155"/>
      <c r="N215" s="156"/>
      <c r="O215" s="209"/>
      <c r="P215" s="155"/>
      <c r="Q215" s="155"/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142</v>
      </c>
      <c r="C216" s="56" t="s">
        <v>20</v>
      </c>
      <c r="D216" s="56"/>
      <c r="E216" s="56" t="s">
        <v>25</v>
      </c>
      <c r="F216" s="36"/>
      <c r="G216" s="158" t="s">
        <v>22</v>
      </c>
      <c r="H216" s="173" t="n">
        <v>4</v>
      </c>
      <c r="I216" s="148" t="n">
        <v>3</v>
      </c>
      <c r="J216" s="148" t="n">
        <v>3</v>
      </c>
      <c r="K216" s="149" t="n">
        <v>1656.28</v>
      </c>
      <c r="L216" s="149" t="n">
        <f aca="false">M216+N216</f>
        <v>1656.28</v>
      </c>
      <c r="M216" s="149" t="n">
        <v>1656.28</v>
      </c>
      <c r="N216" s="190"/>
      <c r="O216" s="228" t="n">
        <v>4</v>
      </c>
      <c r="P216" s="161" t="n">
        <v>5104.51</v>
      </c>
      <c r="Q216" s="161" t="n">
        <f aca="false">R216+S216</f>
        <v>3342.51</v>
      </c>
      <c r="R216" s="161" t="n">
        <v>3342.51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42" t="s">
        <v>216</v>
      </c>
      <c r="G217" s="164" t="s">
        <v>26</v>
      </c>
      <c r="H217" s="177" t="n">
        <v>7</v>
      </c>
      <c r="I217" s="165" t="n">
        <v>3</v>
      </c>
      <c r="J217" s="165" t="n">
        <v>3</v>
      </c>
      <c r="K217" s="166" t="n">
        <v>5990.8</v>
      </c>
      <c r="L217" s="166" t="n">
        <f aca="false">M217+N217</f>
        <v>9043.61</v>
      </c>
      <c r="M217" s="166" t="n">
        <f aca="false">3052.81</f>
        <v>3052.81</v>
      </c>
      <c r="N217" s="167" t="n">
        <v>5990.8</v>
      </c>
      <c r="O217" s="238" t="n">
        <v>7</v>
      </c>
      <c r="P217" s="166" t="n">
        <v>7343.2</v>
      </c>
      <c r="Q217" s="166" t="n">
        <f aca="false">R217+S217</f>
        <v>4876.19</v>
      </c>
      <c r="R217" s="166" t="n">
        <v>823.59</v>
      </c>
      <c r="S217" s="167" t="n">
        <v>4052.6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287</v>
      </c>
      <c r="C218" s="56" t="s">
        <v>20</v>
      </c>
      <c r="D218" s="19"/>
      <c r="E218" s="56" t="s">
        <v>25</v>
      </c>
      <c r="F218" s="20"/>
      <c r="G218" s="146" t="s">
        <v>22</v>
      </c>
      <c r="H218" s="147"/>
      <c r="I218" s="148"/>
      <c r="J218" s="148"/>
      <c r="K218" s="149"/>
      <c r="L218" s="149" t="n">
        <f aca="false">M218+N218</f>
        <v>0</v>
      </c>
      <c r="M218" s="149"/>
      <c r="N218" s="150"/>
      <c r="O218" s="206"/>
      <c r="P218" s="149"/>
      <c r="Q218" s="149" t="n">
        <f aca="false">R218+S218</f>
        <v>0</v>
      </c>
      <c r="R218" s="149"/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288</v>
      </c>
      <c r="G219" s="152" t="s">
        <v>26</v>
      </c>
      <c r="H219" s="176" t="n">
        <v>3</v>
      </c>
      <c r="I219" s="154"/>
      <c r="J219" s="154"/>
      <c r="K219" s="155"/>
      <c r="L219" s="155" t="n">
        <f aca="false">M219+N219</f>
        <v>0</v>
      </c>
      <c r="M219" s="155"/>
      <c r="N219" s="156"/>
      <c r="O219" s="209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143</v>
      </c>
      <c r="C220" s="35" t="s">
        <v>20</v>
      </c>
      <c r="D220" s="35"/>
      <c r="E220" s="35" t="s">
        <v>25</v>
      </c>
      <c r="F220" s="36"/>
      <c r="G220" s="158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 t="n">
        <v>1</v>
      </c>
      <c r="P220" s="161" t="n">
        <v>1515.67</v>
      </c>
      <c r="Q220" s="161" t="n">
        <f aca="false">R220+S220</f>
        <v>1515.67</v>
      </c>
      <c r="R220" s="161" t="n">
        <v>1515.67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217</v>
      </c>
      <c r="G221" s="164" t="s">
        <v>26</v>
      </c>
      <c r="H221" s="171" t="n">
        <v>6</v>
      </c>
      <c r="I221" s="165"/>
      <c r="J221" s="165"/>
      <c r="K221" s="166"/>
      <c r="L221" s="166" t="n">
        <f aca="false">M221+N221</f>
        <v>704.8</v>
      </c>
      <c r="M221" s="166"/>
      <c r="N221" s="156" t="n">
        <v>704.8</v>
      </c>
      <c r="O221" s="168" t="n">
        <v>6</v>
      </c>
      <c r="P221" s="166" t="n">
        <v>34775.2</v>
      </c>
      <c r="Q221" s="166" t="n">
        <f aca="false">R221+S221</f>
        <v>13743.6</v>
      </c>
      <c r="R221" s="166"/>
      <c r="S221" s="156" t="n">
        <v>13743.6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144</v>
      </c>
      <c r="C222" s="19" t="s">
        <v>20</v>
      </c>
      <c r="D222" s="19"/>
      <c r="E222" s="19" t="s">
        <v>81</v>
      </c>
      <c r="F222" s="20"/>
      <c r="G222" s="146" t="s">
        <v>22</v>
      </c>
      <c r="H222" s="159" t="n">
        <v>8</v>
      </c>
      <c r="I222" s="148" t="n">
        <v>7</v>
      </c>
      <c r="J222" s="148" t="n">
        <v>7</v>
      </c>
      <c r="K222" s="149" t="n">
        <v>6542.31</v>
      </c>
      <c r="L222" s="149" t="n">
        <f aca="false">M222+N222</f>
        <v>2096.78</v>
      </c>
      <c r="M222" s="149" t="n">
        <v>2096.78</v>
      </c>
      <c r="N222" s="190"/>
      <c r="O222" s="151" t="n">
        <v>5</v>
      </c>
      <c r="P222" s="149" t="n">
        <v>16284.3</v>
      </c>
      <c r="Q222" s="149" t="n">
        <f aca="false">R222+S222</f>
        <v>3636.77</v>
      </c>
      <c r="R222" s="149" t="n">
        <v>3636.77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218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4052.6</v>
      </c>
      <c r="L223" s="155" t="n">
        <f aca="false">M223+N223</f>
        <v>4052.6</v>
      </c>
      <c r="M223" s="155"/>
      <c r="N223" s="156" t="n">
        <f aca="false">1762+2290.6</f>
        <v>4052.6</v>
      </c>
      <c r="O223" s="157" t="n">
        <v>2</v>
      </c>
      <c r="P223" s="155" t="n">
        <v>4493.1</v>
      </c>
      <c r="Q223" s="155" t="n">
        <f aca="false">R223+S223</f>
        <v>4493.1</v>
      </c>
      <c r="R223" s="155"/>
      <c r="S223" s="156" t="n">
        <v>4493.1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145</v>
      </c>
      <c r="C224" s="35" t="s">
        <v>20</v>
      </c>
      <c r="D224" s="35"/>
      <c r="E224" s="35" t="s">
        <v>98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71"/>
      <c r="G225" s="164" t="s">
        <v>23</v>
      </c>
      <c r="H225" s="175"/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146</v>
      </c>
      <c r="C226" s="19" t="s">
        <v>20</v>
      </c>
      <c r="D226" s="19"/>
      <c r="E226" s="19" t="s">
        <v>25</v>
      </c>
      <c r="F226" s="22"/>
      <c r="G226" s="146" t="s">
        <v>22</v>
      </c>
      <c r="H226" s="173" t="n">
        <v>8</v>
      </c>
      <c r="I226" s="148" t="n">
        <v>4</v>
      </c>
      <c r="J226" s="148" t="n">
        <v>4</v>
      </c>
      <c r="K226" s="149" t="n">
        <v>2819.2</v>
      </c>
      <c r="L226" s="149" t="n">
        <f aca="false">M226+N226</f>
        <v>2819.2</v>
      </c>
      <c r="M226" s="149" t="n">
        <v>2819.2</v>
      </c>
      <c r="N226" s="190"/>
      <c r="O226" s="206" t="n">
        <v>1</v>
      </c>
      <c r="P226" s="149" t="n">
        <v>1546.68</v>
      </c>
      <c r="Q226" s="149" t="n">
        <f aca="false">R226+S226</f>
        <v>1546.68</v>
      </c>
      <c r="R226" s="149" t="n">
        <v>1546.68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42" t="s">
        <v>219</v>
      </c>
      <c r="G227" s="164" t="s">
        <v>26</v>
      </c>
      <c r="H227" s="178" t="n">
        <v>1</v>
      </c>
      <c r="I227" s="165"/>
      <c r="J227" s="165"/>
      <c r="K227" s="166"/>
      <c r="L227" s="166" t="n">
        <f aca="false">M227+N227</f>
        <v>0</v>
      </c>
      <c r="M227" s="166" t="n">
        <v>0</v>
      </c>
      <c r="N227" s="167"/>
      <c r="O227" s="238" t="n">
        <v>1</v>
      </c>
      <c r="P227" s="166" t="n">
        <v>1585.8</v>
      </c>
      <c r="Q227" s="166" t="n">
        <f aca="false">R227+S227</f>
        <v>1585.8</v>
      </c>
      <c r="R227" s="166" t="n">
        <v>1585.8</v>
      </c>
      <c r="S227" s="167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289</v>
      </c>
      <c r="C228" s="19"/>
      <c r="D228" s="19"/>
      <c r="E228" s="19"/>
      <c r="F228" s="20"/>
      <c r="G228" s="146" t="s">
        <v>22</v>
      </c>
      <c r="H228" s="173" t="n">
        <v>1</v>
      </c>
      <c r="I228" s="148"/>
      <c r="J228" s="148"/>
      <c r="K228" s="149"/>
      <c r="L228" s="149" t="n">
        <f aca="false">M228+N228</f>
        <v>0</v>
      </c>
      <c r="M228" s="149"/>
      <c r="N228" s="224"/>
      <c r="O228" s="151"/>
      <c r="P228" s="149"/>
      <c r="Q228" s="149" t="n">
        <f aca="false">R228+S228</f>
        <v>0</v>
      </c>
      <c r="R228" s="149"/>
      <c r="S228" s="15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57"/>
      <c r="G229" s="152" t="s">
        <v>23</v>
      </c>
      <c r="H229" s="174" t="n">
        <v>1</v>
      </c>
      <c r="I229" s="154" t="n">
        <v>1</v>
      </c>
      <c r="J229" s="154" t="n">
        <v>1</v>
      </c>
      <c r="K229" s="155" t="n">
        <v>2325.84</v>
      </c>
      <c r="L229" s="155" t="n">
        <f aca="false">M229+N229</f>
        <v>0</v>
      </c>
      <c r="M229" s="155"/>
      <c r="N229" s="226"/>
      <c r="O229" s="157"/>
      <c r="P229" s="155"/>
      <c r="Q229" s="155" t="n">
        <f aca="false">R229+S229</f>
        <v>0</v>
      </c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147</v>
      </c>
      <c r="C230" s="56" t="s">
        <v>20</v>
      </c>
      <c r="D230" s="56"/>
      <c r="E230" s="56" t="s">
        <v>25</v>
      </c>
      <c r="F230" s="97"/>
      <c r="G230" s="158" t="s">
        <v>22</v>
      </c>
      <c r="H230" s="159" t="n">
        <v>3</v>
      </c>
      <c r="I230" s="160" t="n">
        <v>3</v>
      </c>
      <c r="J230" s="160" t="n">
        <v>3</v>
      </c>
      <c r="K230" s="161" t="n">
        <v>2093.26</v>
      </c>
      <c r="L230" s="161" t="n">
        <f aca="false">M230+N230</f>
        <v>2093.26</v>
      </c>
      <c r="M230" s="161"/>
      <c r="N230" s="190" t="n">
        <v>2093.26</v>
      </c>
      <c r="O230" s="163" t="n">
        <v>4</v>
      </c>
      <c r="P230" s="161" t="n">
        <v>16436.74</v>
      </c>
      <c r="Q230" s="161" t="n">
        <f aca="false">R230+S230</f>
        <v>16436.74</v>
      </c>
      <c r="R230" s="161" t="n">
        <v>16436.74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26" t="s">
        <v>220</v>
      </c>
      <c r="G231" s="152" t="s">
        <v>26</v>
      </c>
      <c r="H231" s="171" t="n">
        <v>11</v>
      </c>
      <c r="I231" s="154" t="n">
        <v>1</v>
      </c>
      <c r="J231" s="154" t="n">
        <v>2</v>
      </c>
      <c r="K231" s="155" t="n">
        <v>6871.8</v>
      </c>
      <c r="L231" s="189" t="n">
        <f aca="false">M231+N231</f>
        <v>528.6</v>
      </c>
      <c r="M231" s="155" t="n">
        <v>0</v>
      </c>
      <c r="N231" s="167" t="n">
        <v>528.6</v>
      </c>
      <c r="O231" s="157" t="n">
        <v>5</v>
      </c>
      <c r="P231" s="155" t="n">
        <v>13038.8</v>
      </c>
      <c r="Q231" s="161" t="n">
        <f aca="false">R231+S231</f>
        <v>18677.2</v>
      </c>
      <c r="R231" s="155" t="n">
        <f aca="false">7048+528.6</f>
        <v>7576.6</v>
      </c>
      <c r="S231" s="156" t="n">
        <v>11100.6</v>
      </c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148</v>
      </c>
      <c r="C232" s="19" t="s">
        <v>20</v>
      </c>
      <c r="D232" s="19"/>
      <c r="E232" s="19" t="s">
        <v>21</v>
      </c>
      <c r="F232" s="22"/>
      <c r="G232" s="146" t="s">
        <v>22</v>
      </c>
      <c r="H232" s="173" t="n">
        <v>2</v>
      </c>
      <c r="I232" s="148" t="n">
        <v>1</v>
      </c>
      <c r="J232" s="148" t="n">
        <v>1</v>
      </c>
      <c r="K232" s="149" t="n">
        <v>436.1</v>
      </c>
      <c r="L232" s="149" t="n">
        <f aca="false">M232+N232</f>
        <v>436.1</v>
      </c>
      <c r="M232" s="149" t="n">
        <v>436.1</v>
      </c>
      <c r="N232" s="198"/>
      <c r="O232" s="151" t="n">
        <v>1</v>
      </c>
      <c r="P232" s="149" t="n">
        <v>13232.99</v>
      </c>
      <c r="Q232" s="149" t="n">
        <f aca="false">R232+S232</f>
        <v>13232.99</v>
      </c>
      <c r="R232" s="149" t="n">
        <v>13232.99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248</v>
      </c>
      <c r="G233" s="152" t="s">
        <v>23</v>
      </c>
      <c r="H233" s="171" t="n">
        <v>2</v>
      </c>
      <c r="I233" s="154"/>
      <c r="J233" s="154"/>
      <c r="K233" s="155"/>
      <c r="L233" s="155" t="n">
        <f aca="false">M233+N233</f>
        <v>0</v>
      </c>
      <c r="M233" s="155"/>
      <c r="N233" s="156"/>
      <c r="O233" s="157" t="n">
        <v>1</v>
      </c>
      <c r="P233" s="155" t="n">
        <v>572.65</v>
      </c>
      <c r="Q233" s="155" t="n">
        <v>572.65</v>
      </c>
      <c r="R233" s="155" t="n">
        <v>572.65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99"/>
      <c r="B234" s="100" t="s">
        <v>149</v>
      </c>
      <c r="C234" s="100"/>
      <c r="D234" s="100"/>
      <c r="E234" s="100"/>
      <c r="F234" s="100"/>
      <c r="G234" s="212"/>
      <c r="H234" s="213" t="n">
        <f aca="false">SUM(H9:H233)</f>
        <v>1326</v>
      </c>
      <c r="I234" s="214" t="n">
        <f aca="false">SUM(I9:I233)</f>
        <v>601</v>
      </c>
      <c r="J234" s="214" t="n">
        <f aca="false">SUM(J9:J233)</f>
        <v>665</v>
      </c>
      <c r="K234" s="215" t="n">
        <f aca="false">SUM(K9:K233)</f>
        <v>909602.15</v>
      </c>
      <c r="L234" s="215" t="n">
        <f aca="false">SUM(L9:L233)</f>
        <v>660331.52</v>
      </c>
      <c r="M234" s="215" t="n">
        <f aca="false">SUM(M9:M233)</f>
        <v>262051.15</v>
      </c>
      <c r="N234" s="243" t="n">
        <f aca="false">SUM(N9:N233)</f>
        <v>398280.37</v>
      </c>
      <c r="O234" s="244" t="n">
        <f aca="false">SUM(O9:O233)</f>
        <v>809</v>
      </c>
      <c r="P234" s="245" t="n">
        <f aca="false">SUM(P9:P233)</f>
        <v>2344203.4</v>
      </c>
      <c r="Q234" s="245" t="n">
        <f aca="false">SUM(Q9:Q233)</f>
        <v>1796474.6</v>
      </c>
      <c r="R234" s="245" t="n">
        <f aca="false">SUM(R9:R233)</f>
        <v>1061834.42</v>
      </c>
      <c r="S234" s="246" t="n">
        <f aca="false">SUM(S9:S233)</f>
        <v>734640.18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 t="s">
        <v>290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2"/>
      <c r="B238" s="2"/>
      <c r="C238" s="2"/>
      <c r="D238" s="2"/>
      <c r="E238" s="2"/>
      <c r="F238" s="103"/>
      <c r="G238" s="104" t="s">
        <v>5</v>
      </c>
      <c r="H238" s="104"/>
      <c r="I238" s="104"/>
      <c r="J238" s="104"/>
      <c r="K238" s="104"/>
      <c r="L238" s="104"/>
      <c r="M238" s="104"/>
      <c r="N238" s="104" t="s">
        <v>6</v>
      </c>
      <c r="O238" s="104"/>
      <c r="P238" s="104"/>
      <c r="Q238" s="104"/>
      <c r="R238" s="104"/>
      <c r="S238" s="105" t="s">
        <v>150</v>
      </c>
      <c r="T238" s="105" t="s">
        <v>253</v>
      </c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103"/>
      <c r="G239" s="106" t="s">
        <v>13</v>
      </c>
      <c r="H239" s="106" t="s">
        <v>14</v>
      </c>
      <c r="I239" s="106" t="s">
        <v>15</v>
      </c>
      <c r="J239" s="106" t="s">
        <v>226</v>
      </c>
      <c r="K239" s="106" t="s">
        <v>16</v>
      </c>
      <c r="L239" s="106" t="s">
        <v>17</v>
      </c>
      <c r="M239" s="106" t="s">
        <v>18</v>
      </c>
      <c r="N239" s="106" t="s">
        <v>15</v>
      </c>
      <c r="O239" s="106" t="s">
        <v>226</v>
      </c>
      <c r="P239" s="106" t="s">
        <v>16</v>
      </c>
      <c r="Q239" s="106" t="s">
        <v>17</v>
      </c>
      <c r="R239" s="106" t="s">
        <v>18</v>
      </c>
      <c r="S239" s="105"/>
      <c r="T239" s="105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107" t="s">
        <v>22</v>
      </c>
      <c r="G240" s="108" t="n">
        <f aca="false">SUMIF($G$9:$G$233,$F$240,H9:H233)</f>
        <v>855</v>
      </c>
      <c r="H240" s="108" t="n">
        <f aca="false">SUMIF($G$9:$G$233,$F$240,I9:I233)</f>
        <v>470</v>
      </c>
      <c r="I240" s="108" t="n">
        <f aca="false">SUMIF($G$9:$G$233,$F$240,J9:J233)</f>
        <v>533</v>
      </c>
      <c r="J240" s="110" t="n">
        <f aca="false">SUMIF($G$9:$G$233,F240,$K$9:$K$233)</f>
        <v>698634.28</v>
      </c>
      <c r="K240" s="110" t="n">
        <f aca="false">SUMIF($G$9:$G$233,$F$240,L9:L233)</f>
        <v>578741.37</v>
      </c>
      <c r="L240" s="110" t="n">
        <f aca="false">SUMIF($G$9:$G$233,$F$240,M9:M233)</f>
        <v>243340.49</v>
      </c>
      <c r="M240" s="110" t="n">
        <f aca="false">SUMIF($G$9:$G$233,$F$240,N9:N233)</f>
        <v>335400.88</v>
      </c>
      <c r="N240" s="108" t="n">
        <f aca="false">SUMIF($G$9:$G$233,$F$240,O9:O233)</f>
        <v>549</v>
      </c>
      <c r="O240" s="110" t="n">
        <f aca="false">SUMIF($G$9:$G$233,F240,$P$9:$P$233)</f>
        <v>1707859.19</v>
      </c>
      <c r="P240" s="110" t="n">
        <f aca="false">SUMIF($G$9:$G$233,$F$240,Q9:Q233)</f>
        <v>1387209.08</v>
      </c>
      <c r="Q240" s="110" t="n">
        <f aca="false">SUMIF($G$9:$G$233,$F$240,R9:R233)</f>
        <v>915539.78</v>
      </c>
      <c r="R240" s="110" t="n">
        <f aca="false">SUMIF($G$9:$G$233,$F$240,S9:S233)</f>
        <v>471669.3</v>
      </c>
      <c r="S240" s="110" t="n">
        <f aca="false">Q240+L240</f>
        <v>1158880.27</v>
      </c>
      <c r="T240" s="111" t="n">
        <f aca="false">J240-L240+O240-Q240</f>
        <v>1247613.2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107" t="s">
        <v>26</v>
      </c>
      <c r="G241" s="108" t="n">
        <f aca="false">SUMIF($G$9:$G$233,$F$241,H9:H233)</f>
        <v>286</v>
      </c>
      <c r="H241" s="108" t="n">
        <v>20</v>
      </c>
      <c r="I241" s="108" t="n">
        <f aca="false">SUMIF($G$9:$G$233,$F$241,J9:J233)</f>
        <v>70</v>
      </c>
      <c r="J241" s="110" t="n">
        <f aca="false">SUMIF($G$9:$G$233,F241,$K$9:$K$233)</f>
        <v>135361.18</v>
      </c>
      <c r="K241" s="110" t="n">
        <f aca="false">SUMIF($G$9:$G$233,$F$241,L9:L233)</f>
        <v>68198.95</v>
      </c>
      <c r="L241" s="110" t="n">
        <f aca="false">SUMIF($G$9:$G$233,$F$241,M9:M233)</f>
        <v>5319.46</v>
      </c>
      <c r="M241" s="110" t="n">
        <f aca="false">SUMIF($G$9:$G$233,$F$241,N9:N233)</f>
        <v>62879.49</v>
      </c>
      <c r="N241" s="108" t="n">
        <f aca="false">SUMIF($G$9:$G$233,$F$241,O9:O233)</f>
        <v>177</v>
      </c>
      <c r="O241" s="110" t="n">
        <f aca="false">SUMIF($G$9:$G$233,F241,$P$9:$P$233)</f>
        <v>450001.6</v>
      </c>
      <c r="P241" s="110" t="n">
        <f aca="false">SUMIF($G$9:$G$233,$F$241,Q9:Q233)</f>
        <v>357775.37</v>
      </c>
      <c r="Q241" s="110" t="n">
        <f aca="false">SUMIF($G$9:$G$233,$F$241,R9:R233)</f>
        <v>94804.49</v>
      </c>
      <c r="R241" s="110" t="n">
        <f aca="false">SUMIF($G$9:$G$233,$F$241,S9:S233)</f>
        <v>262970.88</v>
      </c>
      <c r="S241" s="110" t="n">
        <f aca="false">Q241+L241</f>
        <v>100123.95</v>
      </c>
      <c r="T241" s="111" t="n">
        <f aca="false">J241-L241+O241-Q241</f>
        <v>485238.83</v>
      </c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107" t="s">
        <v>23</v>
      </c>
      <c r="G242" s="108" t="n">
        <f aca="false">SUMIF($G$9:$G$233,$F$242,H9:H233)</f>
        <v>185</v>
      </c>
      <c r="H242" s="108" t="n">
        <f aca="false">SUMIF($G$9:$G$233,$F$242,I9:I233)</f>
        <v>62</v>
      </c>
      <c r="I242" s="108" t="n">
        <f aca="false">SUMIF($G$9:$G$233,$F$242,J9:J233)</f>
        <v>62</v>
      </c>
      <c r="J242" s="110" t="n">
        <f aca="false">SUMIF($G$9:$G$233,F242,$K$9:$K$233)</f>
        <v>75606.69</v>
      </c>
      <c r="K242" s="110" t="n">
        <f aca="false">SUMIF($G$9:$G$233,$F$242,L9:L233)</f>
        <v>13391.2</v>
      </c>
      <c r="L242" s="110" t="n">
        <f aca="false">SUMIF($G$9:$G$233,$F$242,M9:M233)</f>
        <v>13391.2</v>
      </c>
      <c r="M242" s="110" t="n">
        <f aca="false">SUMIF($G$9:$G$233,$F$242,N9:N233)</f>
        <v>0</v>
      </c>
      <c r="N242" s="108" t="n">
        <f aca="false">SUMIF($G$9:$G$233,$F$242,O9:O233)</f>
        <v>83</v>
      </c>
      <c r="O242" s="110" t="n">
        <f aca="false">SUMIF($G$9:$G$233,F242,$P$9:$P$233)</f>
        <v>186342.61</v>
      </c>
      <c r="P242" s="110" t="n">
        <f aca="false">SUMIF($G$9:$G$233,$F$242,Q9:Q233)</f>
        <v>51490.15</v>
      </c>
      <c r="Q242" s="110" t="n">
        <f aca="false">SUMIF($G$9:$G$233,$F$242,R9:R233)</f>
        <v>51490.15</v>
      </c>
      <c r="R242" s="110" t="n">
        <f aca="false">SUMIF($G$9:$G$233,$F$242,S9:S233)</f>
        <v>0</v>
      </c>
      <c r="S242" s="110" t="n">
        <f aca="false">Q242+L242</f>
        <v>64881.35</v>
      </c>
      <c r="T242" s="111" t="n">
        <f aca="false">J242-L242+O242-Q242</f>
        <v>197067.95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16" t="n">
        <f aca="false">G242+G241+G240</f>
        <v>1326</v>
      </c>
      <c r="H243" s="216" t="n">
        <f aca="false">H242+H241+H240</f>
        <v>552</v>
      </c>
      <c r="I243" s="216" t="n">
        <f aca="false">I242+I241+I240</f>
        <v>665</v>
      </c>
      <c r="J243" s="217" t="n">
        <f aca="false">J242+J241+J240</f>
        <v>909602.15</v>
      </c>
      <c r="K243" s="217" t="n">
        <f aca="false">K242+K241+K240</f>
        <v>660331.52</v>
      </c>
      <c r="L243" s="217" t="n">
        <f aca="false">L242+L241+L240</f>
        <v>262051.15</v>
      </c>
      <c r="M243" s="217" t="n">
        <f aca="false">M242+M241+M240</f>
        <v>398280.37</v>
      </c>
      <c r="N243" s="216" t="n">
        <f aca="false">N242+N241+N240</f>
        <v>809</v>
      </c>
      <c r="O243" s="217" t="n">
        <f aca="false">O242+O241+O240</f>
        <v>2344203.4</v>
      </c>
      <c r="P243" s="217" t="n">
        <f aca="false">P242+P241+P240</f>
        <v>1796474.6</v>
      </c>
      <c r="Q243" s="217" t="n">
        <f aca="false">Q242+Q241+Q240</f>
        <v>1061834.42</v>
      </c>
      <c r="R243" s="217" t="n">
        <f aca="false">R242+R241+R240</f>
        <v>734640.18</v>
      </c>
      <c r="S243" s="217" t="n">
        <f aca="false">S242+S241+S240</f>
        <v>1323885.57</v>
      </c>
      <c r="T243" s="217" t="n">
        <f aca="false">T242+T241+T240</f>
        <v>1929919.98</v>
      </c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F304" s="0" t="s">
        <v>22</v>
      </c>
      <c r="G304" s="0" t="n">
        <v>855</v>
      </c>
      <c r="H304" s="247" t="n">
        <v>470</v>
      </c>
      <c r="I304" s="247" t="n">
        <v>533</v>
      </c>
      <c r="J304" s="0" t="n">
        <v>698634.28</v>
      </c>
      <c r="K304" s="236" t="n">
        <v>578741.37</v>
      </c>
      <c r="L304" s="0" t="n">
        <v>208301.67</v>
      </c>
      <c r="M304" s="0" t="n">
        <v>370439.7</v>
      </c>
      <c r="N304" s="0" t="n">
        <v>549</v>
      </c>
      <c r="O304" s="0" t="n">
        <v>1707859.19</v>
      </c>
      <c r="P304" s="0" t="n">
        <v>1387209.08</v>
      </c>
      <c r="Q304" s="0" t="n">
        <v>868523.33</v>
      </c>
      <c r="R304" s="0" t="n">
        <v>518685.75</v>
      </c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</sheetData>
  <mergeCells count="55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9"/>
    <mergeCell ref="B167:B169"/>
    <mergeCell ref="C167:C169"/>
    <mergeCell ref="D167:D169"/>
    <mergeCell ref="E167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B176:B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F238:F239"/>
    <mergeCell ref="G238:M238"/>
    <mergeCell ref="N238:R238"/>
    <mergeCell ref="S238:S239"/>
    <mergeCell ref="T238:T239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22"/>
      <c r="I9" s="23"/>
      <c r="J9" s="23"/>
      <c r="K9" s="24" t="n">
        <f aca="false">L9+M9</f>
        <v>0</v>
      </c>
      <c r="L9" s="24"/>
      <c r="M9" s="24"/>
      <c r="N9" s="23"/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26"/>
      <c r="I10" s="28"/>
      <c r="J10" s="28"/>
      <c r="K10" s="29" t="n">
        <f aca="false">L10+M10</f>
        <v>0</v>
      </c>
      <c r="L10" s="29"/>
      <c r="M10" s="30"/>
      <c r="N10" s="31"/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38" t="n">
        <v>1</v>
      </c>
      <c r="I11" s="39"/>
      <c r="J11" s="39"/>
      <c r="K11" s="40" t="n">
        <f aca="false">L11+M11</f>
        <v>0</v>
      </c>
      <c r="L11" s="40"/>
      <c r="M11" s="40"/>
      <c r="N11" s="39"/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42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22" t="n">
        <v>3</v>
      </c>
      <c r="I13" s="23" t="n">
        <v>1</v>
      </c>
      <c r="J13" s="23" t="n">
        <v>1</v>
      </c>
      <c r="K13" s="24" t="n">
        <f aca="false">L13+M13</f>
        <v>0</v>
      </c>
      <c r="L13" s="24"/>
      <c r="M13" s="24"/>
      <c r="N13" s="23"/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26"/>
      <c r="I14" s="28"/>
      <c r="J14" s="28"/>
      <c r="K14" s="29" t="n">
        <f aca="false">L14+M14</f>
        <v>0</v>
      </c>
      <c r="L14" s="29"/>
      <c r="M14" s="30"/>
      <c r="N14" s="28"/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38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42" t="n">
        <v>2</v>
      </c>
      <c r="I16" s="45"/>
      <c r="J16" s="45"/>
      <c r="K16" s="46" t="n">
        <f aca="false">L16+M16</f>
        <v>0</v>
      </c>
      <c r="L16" s="46"/>
      <c r="M16" s="47"/>
      <c r="N16" s="44"/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22" t="n">
        <v>1</v>
      </c>
      <c r="I17" s="23"/>
      <c r="J17" s="23"/>
      <c r="K17" s="24" t="n">
        <f aca="false">L17+M17</f>
        <v>0</v>
      </c>
      <c r="L17" s="24"/>
      <c r="M17" s="24"/>
      <c r="N17" s="23"/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26"/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38" t="n">
        <v>5</v>
      </c>
      <c r="I19" s="39"/>
      <c r="J19" s="39"/>
      <c r="K19" s="40" t="n">
        <f aca="false">L19+M19</f>
        <v>0</v>
      </c>
      <c r="L19" s="40"/>
      <c r="M19" s="40"/>
      <c r="N19" s="39"/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26"/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38" t="n">
        <v>4</v>
      </c>
      <c r="I21" s="61"/>
      <c r="J21" s="61"/>
      <c r="K21" s="62" t="n">
        <f aca="false">L21+M21</f>
        <v>0</v>
      </c>
      <c r="L21" s="62"/>
      <c r="M21" s="62"/>
      <c r="N21" s="61"/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42"/>
      <c r="I22" s="64"/>
      <c r="J22" s="64"/>
      <c r="K22" s="65" t="n">
        <f aca="false">L22+M22</f>
        <v>0</v>
      </c>
      <c r="L22" s="65"/>
      <c r="M22" s="65"/>
      <c r="N22" s="64"/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22"/>
      <c r="I23" s="67"/>
      <c r="J23" s="67"/>
      <c r="K23" s="68" t="n">
        <f aca="false">L23+M23</f>
        <v>0</v>
      </c>
      <c r="L23" s="68"/>
      <c r="M23" s="68"/>
      <c r="N23" s="67" t="n">
        <v>2</v>
      </c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26"/>
      <c r="G24" s="27" t="s">
        <v>26</v>
      </c>
      <c r="H24" s="26"/>
      <c r="I24" s="58"/>
      <c r="J24" s="58"/>
      <c r="K24" s="59" t="n">
        <f aca="false">L24+M24</f>
        <v>0</v>
      </c>
      <c r="L24" s="59"/>
      <c r="M24" s="59"/>
      <c r="N24" s="58"/>
      <c r="O24" s="59" t="n">
        <f aca="false">P24+Q24</f>
        <v>0</v>
      </c>
      <c r="P24" s="59"/>
      <c r="Q24" s="60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40</v>
      </c>
      <c r="C25" s="19" t="s">
        <v>38</v>
      </c>
      <c r="D25" s="19" t="s">
        <v>41</v>
      </c>
      <c r="E25" s="19" t="s">
        <v>42</v>
      </c>
      <c r="F25" s="20"/>
      <c r="G25" s="21" t="s">
        <v>22</v>
      </c>
      <c r="H25" s="22"/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26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5.75" hidden="false" customHeight="true" outlineLevel="0" collapsed="false">
      <c r="A27" s="54"/>
      <c r="B27" s="55" t="s">
        <v>43</v>
      </c>
      <c r="C27" s="56" t="s">
        <v>33</v>
      </c>
      <c r="D27" s="56" t="s">
        <v>44</v>
      </c>
      <c r="E27" s="56" t="s">
        <v>45</v>
      </c>
      <c r="F27" s="36"/>
      <c r="G27" s="21" t="s">
        <v>22</v>
      </c>
      <c r="H27" s="38" t="n">
        <v>2</v>
      </c>
      <c r="I27" s="61"/>
      <c r="J27" s="61"/>
      <c r="K27" s="62" t="n">
        <f aca="false">L27+M27</f>
        <v>0</v>
      </c>
      <c r="L27" s="62"/>
      <c r="M27" s="62"/>
      <c r="N27" s="61"/>
      <c r="O27" s="62" t="n">
        <f aca="false">P27+Q27</f>
        <v>0</v>
      </c>
      <c r="P27" s="62"/>
      <c r="Q27" s="63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customFormat="false" ht="15.75" hidden="false" customHeight="true" outlineLevel="0" collapsed="false">
      <c r="A28" s="54"/>
      <c r="B28" s="55"/>
      <c r="C28" s="55"/>
      <c r="D28" s="55"/>
      <c r="E28" s="55"/>
      <c r="F28" s="26"/>
      <c r="G28" s="27" t="s">
        <v>26</v>
      </c>
      <c r="H28" s="26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" hidden="false" customHeight="true" outlineLevel="0" collapsed="false">
      <c r="A29" s="33"/>
      <c r="B29" s="34" t="s">
        <v>46</v>
      </c>
      <c r="C29" s="35" t="s">
        <v>20</v>
      </c>
      <c r="D29" s="35"/>
      <c r="E29" s="35" t="s">
        <v>25</v>
      </c>
      <c r="F29" s="36"/>
      <c r="G29" s="21" t="s">
        <v>22</v>
      </c>
      <c r="H29" s="38" t="n">
        <v>1</v>
      </c>
      <c r="I29" s="61"/>
      <c r="J29" s="61"/>
      <c r="K29" s="62" t="n">
        <f aca="false">L29+M29</f>
        <v>0</v>
      </c>
      <c r="L29" s="62"/>
      <c r="M29" s="62"/>
      <c r="N29" s="61"/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5.75" hidden="false" customHeight="true" outlineLevel="0" collapsed="false">
      <c r="A30" s="33"/>
      <c r="B30" s="34"/>
      <c r="C30" s="34"/>
      <c r="D30" s="34"/>
      <c r="E30" s="34"/>
      <c r="F30" s="71"/>
      <c r="G30" s="43" t="s">
        <v>26</v>
      </c>
      <c r="H30" s="42"/>
      <c r="I30" s="64"/>
      <c r="J30" s="64"/>
      <c r="K30" s="65" t="n">
        <f aca="false">L30+M30</f>
        <v>0</v>
      </c>
      <c r="L30" s="65"/>
      <c r="M30" s="65"/>
      <c r="N30" s="64"/>
      <c r="O30" s="65" t="n">
        <f aca="false">P30+Q30</f>
        <v>0</v>
      </c>
      <c r="P30" s="65"/>
      <c r="Q30" s="66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72"/>
      <c r="B31" s="73" t="s">
        <v>47</v>
      </c>
      <c r="C31" s="74" t="s">
        <v>20</v>
      </c>
      <c r="D31" s="74"/>
      <c r="E31" s="75" t="s">
        <v>25</v>
      </c>
      <c r="F31" s="22"/>
      <c r="G31" s="21" t="s">
        <v>22</v>
      </c>
      <c r="H31" s="76" t="n">
        <v>1</v>
      </c>
      <c r="I31" s="67"/>
      <c r="J31" s="67"/>
      <c r="K31" s="68" t="n">
        <f aca="false">L31+M31</f>
        <v>0</v>
      </c>
      <c r="L31" s="68"/>
      <c r="M31" s="68"/>
      <c r="N31" s="67"/>
      <c r="O31" s="68" t="n">
        <f aca="false">P31+Q31</f>
        <v>0</v>
      </c>
      <c r="P31" s="68"/>
      <c r="Q31" s="69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72"/>
      <c r="B32" s="73"/>
      <c r="C32" s="73"/>
      <c r="D32" s="73"/>
      <c r="E32" s="75"/>
      <c r="F32" s="42"/>
      <c r="G32" s="43" t="s">
        <v>26</v>
      </c>
      <c r="H32" s="77" t="n">
        <v>3</v>
      </c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17"/>
      <c r="B33" s="18" t="s">
        <v>48</v>
      </c>
      <c r="C33" s="19" t="s">
        <v>20</v>
      </c>
      <c r="D33" s="19"/>
      <c r="E33" s="19" t="s">
        <v>25</v>
      </c>
      <c r="F33" s="20"/>
      <c r="G33" s="21" t="s">
        <v>22</v>
      </c>
      <c r="H33" s="22"/>
      <c r="I33" s="67"/>
      <c r="J33" s="67"/>
      <c r="K33" s="68" t="n">
        <f aca="false">L33+M33</f>
        <v>0</v>
      </c>
      <c r="L33" s="68"/>
      <c r="M33" s="68"/>
      <c r="N33" s="67"/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17"/>
      <c r="B34" s="18"/>
      <c r="C34" s="18"/>
      <c r="D34" s="18"/>
      <c r="E34" s="18"/>
      <c r="F34" s="26"/>
      <c r="G34" s="27" t="s">
        <v>26</v>
      </c>
      <c r="H34" s="26"/>
      <c r="I34" s="58"/>
      <c r="J34" s="58"/>
      <c r="K34" s="59" t="n">
        <f aca="false">L34+M34</f>
        <v>0</v>
      </c>
      <c r="L34" s="59"/>
      <c r="M34" s="59"/>
      <c r="N34" s="58"/>
      <c r="O34" s="59" t="n">
        <f aca="false">P34+Q34</f>
        <v>0</v>
      </c>
      <c r="P34" s="59"/>
      <c r="Q34" s="60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" hidden="false" customHeight="true" outlineLevel="0" collapsed="false">
      <c r="A35" s="54"/>
      <c r="B35" s="55" t="s">
        <v>49</v>
      </c>
      <c r="C35" s="56" t="s">
        <v>20</v>
      </c>
      <c r="D35" s="78"/>
      <c r="E35" s="56" t="s">
        <v>50</v>
      </c>
      <c r="F35" s="36"/>
      <c r="G35" s="21" t="s">
        <v>22</v>
      </c>
      <c r="H35" s="38"/>
      <c r="I35" s="61"/>
      <c r="J35" s="61"/>
      <c r="K35" s="62" t="n">
        <f aca="false">L35+M35</f>
        <v>0</v>
      </c>
      <c r="L35" s="62"/>
      <c r="M35" s="62"/>
      <c r="N35" s="61"/>
      <c r="O35" s="62" t="n">
        <f aca="false">P35+Q35</f>
        <v>0</v>
      </c>
      <c r="P35" s="62"/>
      <c r="Q35" s="63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57"/>
      <c r="G36" s="27" t="s">
        <v>26</v>
      </c>
      <c r="H36" s="26"/>
      <c r="I36" s="58"/>
      <c r="J36" s="58"/>
      <c r="K36" s="59" t="n">
        <f aca="false">L36+M36</f>
        <v>0</v>
      </c>
      <c r="L36" s="59"/>
      <c r="M36" s="59"/>
      <c r="N36" s="58"/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33"/>
      <c r="B37" s="34" t="s">
        <v>51</v>
      </c>
      <c r="C37" s="35" t="s">
        <v>20</v>
      </c>
      <c r="D37" s="35"/>
      <c r="E37" s="35" t="s">
        <v>52</v>
      </c>
      <c r="F37" s="36"/>
      <c r="G37" s="21" t="s">
        <v>22</v>
      </c>
      <c r="H37" s="38"/>
      <c r="I37" s="61"/>
      <c r="J37" s="61"/>
      <c r="K37" s="62" t="n">
        <f aca="false">L37+M37</f>
        <v>0</v>
      </c>
      <c r="L37" s="62"/>
      <c r="M37" s="62"/>
      <c r="N37" s="61"/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43" t="s">
        <v>26</v>
      </c>
      <c r="H38" s="42"/>
      <c r="I38" s="64"/>
      <c r="J38" s="64"/>
      <c r="K38" s="65" t="n">
        <f aca="false">L38+M38</f>
        <v>0</v>
      </c>
      <c r="L38" s="65"/>
      <c r="M38" s="65"/>
      <c r="N38" s="64"/>
      <c r="O38" s="65" t="n">
        <f aca="false">P38+Q38</f>
        <v>0</v>
      </c>
      <c r="P38" s="65"/>
      <c r="Q38" s="66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17"/>
      <c r="B39" s="18" t="s">
        <v>53</v>
      </c>
      <c r="C39" s="19" t="s">
        <v>33</v>
      </c>
      <c r="D39" s="19" t="s">
        <v>54</v>
      </c>
      <c r="E39" s="19" t="s">
        <v>42</v>
      </c>
      <c r="F39" s="20"/>
      <c r="G39" s="21" t="s">
        <v>22</v>
      </c>
      <c r="H39" s="22" t="n">
        <v>2</v>
      </c>
      <c r="I39" s="67"/>
      <c r="J39" s="67"/>
      <c r="K39" s="68" t="n">
        <f aca="false">L39+M39</f>
        <v>0</v>
      </c>
      <c r="L39" s="68"/>
      <c r="M39" s="68"/>
      <c r="N39" s="67"/>
      <c r="O39" s="68" t="n">
        <f aca="false">P39+Q39</f>
        <v>0</v>
      </c>
      <c r="P39" s="68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17"/>
      <c r="B40" s="18"/>
      <c r="C40" s="18"/>
      <c r="D40" s="18"/>
      <c r="E40" s="18"/>
      <c r="F40" s="57"/>
      <c r="G40" s="27" t="s">
        <v>23</v>
      </c>
      <c r="H40" s="26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55</v>
      </c>
      <c r="C41" s="35" t="s">
        <v>20</v>
      </c>
      <c r="D41" s="35"/>
      <c r="E41" s="35" t="s">
        <v>25</v>
      </c>
      <c r="F41" s="38"/>
      <c r="G41" s="21" t="s">
        <v>22</v>
      </c>
      <c r="H41" s="38"/>
      <c r="I41" s="61"/>
      <c r="J41" s="61"/>
      <c r="K41" s="62" t="n">
        <f aca="false">L41+M41</f>
        <v>0</v>
      </c>
      <c r="L41" s="62"/>
      <c r="M41" s="62"/>
      <c r="N41" s="61"/>
      <c r="O41" s="62" t="n">
        <f aca="false">P41+Q41</f>
        <v>0</v>
      </c>
      <c r="P41" s="62"/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42"/>
      <c r="G42" s="43" t="s">
        <v>26</v>
      </c>
      <c r="H42" s="42" t="n">
        <v>1</v>
      </c>
      <c r="I42" s="64"/>
      <c r="J42" s="64"/>
      <c r="K42" s="65" t="n">
        <f aca="false">L42+M42</f>
        <v>0</v>
      </c>
      <c r="L42" s="65"/>
      <c r="M42" s="65"/>
      <c r="N42" s="64"/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.75" hidden="false" customHeight="true" outlineLevel="0" collapsed="false">
      <c r="A43" s="17"/>
      <c r="B43" s="18" t="s">
        <v>56</v>
      </c>
      <c r="C43" s="19" t="s">
        <v>33</v>
      </c>
      <c r="D43" s="19" t="s">
        <v>57</v>
      </c>
      <c r="E43" s="19" t="s">
        <v>25</v>
      </c>
      <c r="F43" s="20"/>
      <c r="G43" s="21" t="s">
        <v>22</v>
      </c>
      <c r="H43" s="22" t="n">
        <v>1</v>
      </c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/>
      <c r="G44" s="27" t="s">
        <v>26</v>
      </c>
      <c r="H44" s="26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58</v>
      </c>
      <c r="C45" s="35" t="s">
        <v>20</v>
      </c>
      <c r="D45" s="35"/>
      <c r="E45" s="35" t="s">
        <v>52</v>
      </c>
      <c r="F45" s="36"/>
      <c r="G45" s="21" t="s">
        <v>22</v>
      </c>
      <c r="H45" s="38" t="n">
        <v>1</v>
      </c>
      <c r="I45" s="61"/>
      <c r="J45" s="61"/>
      <c r="K45" s="62" t="n">
        <f aca="false">L45+M45</f>
        <v>0</v>
      </c>
      <c r="L45" s="62"/>
      <c r="M45" s="62"/>
      <c r="N45" s="61"/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43" t="s">
        <v>26</v>
      </c>
      <c r="H46" s="42"/>
      <c r="I46" s="64"/>
      <c r="J46" s="64"/>
      <c r="K46" s="65" t="n">
        <f aca="false">L46+M46</f>
        <v>0</v>
      </c>
      <c r="L46" s="65"/>
      <c r="M46" s="65"/>
      <c r="N46" s="64"/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72"/>
      <c r="B47" s="73" t="s">
        <v>59</v>
      </c>
      <c r="C47" s="74" t="s">
        <v>20</v>
      </c>
      <c r="D47" s="79"/>
      <c r="E47" s="74" t="s">
        <v>25</v>
      </c>
      <c r="F47" s="22"/>
      <c r="G47" s="21" t="s">
        <v>22</v>
      </c>
      <c r="H47" s="22"/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72"/>
      <c r="B48" s="73"/>
      <c r="C48" s="73"/>
      <c r="D48" s="73"/>
      <c r="E48" s="73"/>
      <c r="F48" s="71"/>
      <c r="G48" s="43" t="s">
        <v>26</v>
      </c>
      <c r="H48" s="42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60</v>
      </c>
      <c r="C49" s="19" t="s">
        <v>20</v>
      </c>
      <c r="D49" s="19"/>
      <c r="E49" s="19" t="s">
        <v>21</v>
      </c>
      <c r="F49" s="22"/>
      <c r="G49" s="21" t="s">
        <v>22</v>
      </c>
      <c r="H49" s="22"/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57"/>
      <c r="G50" s="27" t="s">
        <v>23</v>
      </c>
      <c r="H50" s="26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.75" hidden="false" customHeight="true" outlineLevel="0" collapsed="false">
      <c r="A51" s="33"/>
      <c r="B51" s="34" t="s">
        <v>61</v>
      </c>
      <c r="C51" s="35" t="s">
        <v>33</v>
      </c>
      <c r="D51" s="56" t="s">
        <v>62</v>
      </c>
      <c r="E51" s="35" t="s">
        <v>25</v>
      </c>
      <c r="F51" s="36"/>
      <c r="G51" s="21" t="s">
        <v>22</v>
      </c>
      <c r="H51" s="38" t="n">
        <v>2</v>
      </c>
      <c r="I51" s="61"/>
      <c r="J51" s="61"/>
      <c r="K51" s="62" t="n">
        <f aca="false">L51+M51</f>
        <v>0</v>
      </c>
      <c r="L51" s="62"/>
      <c r="M51" s="62"/>
      <c r="N51" s="61"/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56"/>
      <c r="E52" s="35"/>
      <c r="F52" s="42"/>
      <c r="G52" s="43" t="s">
        <v>26</v>
      </c>
      <c r="H52" s="42"/>
      <c r="I52" s="64"/>
      <c r="J52" s="64"/>
      <c r="K52" s="65" t="n">
        <f aca="false">L52+M52</f>
        <v>0</v>
      </c>
      <c r="L52" s="65"/>
      <c r="M52" s="65"/>
      <c r="N52" s="64"/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.75" hidden="false" customHeight="true" outlineLevel="0" collapsed="false">
      <c r="A53" s="72"/>
      <c r="B53" s="73" t="s">
        <v>63</v>
      </c>
      <c r="C53" s="74" t="s">
        <v>20</v>
      </c>
      <c r="D53" s="74"/>
      <c r="E53" s="74" t="s">
        <v>25</v>
      </c>
      <c r="F53" s="20"/>
      <c r="G53" s="21" t="s">
        <v>22</v>
      </c>
      <c r="H53" s="22"/>
      <c r="I53" s="67"/>
      <c r="J53" s="67"/>
      <c r="K53" s="68" t="n">
        <f aca="false">L53+M53</f>
        <v>0</v>
      </c>
      <c r="L53" s="68"/>
      <c r="M53" s="68"/>
      <c r="N53" s="67"/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42"/>
      <c r="G54" s="43" t="s">
        <v>26</v>
      </c>
      <c r="H54" s="42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64</v>
      </c>
      <c r="C55" s="74" t="s">
        <v>20</v>
      </c>
      <c r="D55" s="74"/>
      <c r="E55" s="74" t="s">
        <v>25</v>
      </c>
      <c r="F55" s="20"/>
      <c r="G55" s="21" t="s">
        <v>22</v>
      </c>
      <c r="H55" s="22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42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17"/>
      <c r="B57" s="18" t="s">
        <v>65</v>
      </c>
      <c r="C57" s="19" t="s">
        <v>33</v>
      </c>
      <c r="D57" s="19" t="s">
        <v>66</v>
      </c>
      <c r="E57" s="19" t="s">
        <v>67</v>
      </c>
      <c r="F57" s="20"/>
      <c r="G57" s="21" t="s">
        <v>22</v>
      </c>
      <c r="H57" s="22"/>
      <c r="I57" s="67"/>
      <c r="J57" s="67"/>
      <c r="K57" s="68" t="n">
        <f aca="false">L57+M57</f>
        <v>0</v>
      </c>
      <c r="L57" s="68"/>
      <c r="M57" s="68"/>
      <c r="N57" s="67"/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26"/>
      <c r="G58" s="27" t="s">
        <v>23</v>
      </c>
      <c r="H58" s="26" t="n">
        <v>2</v>
      </c>
      <c r="I58" s="58"/>
      <c r="J58" s="58"/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68</v>
      </c>
      <c r="C59" s="35" t="s">
        <v>20</v>
      </c>
      <c r="D59" s="35"/>
      <c r="E59" s="35" t="s">
        <v>69</v>
      </c>
      <c r="F59" s="38"/>
      <c r="G59" s="21" t="s">
        <v>22</v>
      </c>
      <c r="H59" s="38"/>
      <c r="I59" s="61"/>
      <c r="J59" s="61"/>
      <c r="K59" s="62" t="n">
        <f aca="false">L59+M59</f>
        <v>0</v>
      </c>
      <c r="L59" s="62"/>
      <c r="M59" s="62"/>
      <c r="N59" s="61" t="n">
        <v>1</v>
      </c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42"/>
      <c r="G60" s="43" t="s">
        <v>26</v>
      </c>
      <c r="H60" s="42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17"/>
      <c r="B61" s="18" t="s">
        <v>70</v>
      </c>
      <c r="C61" s="19" t="s">
        <v>20</v>
      </c>
      <c r="D61" s="19" t="s">
        <v>71</v>
      </c>
      <c r="E61" s="19" t="s">
        <v>25</v>
      </c>
      <c r="F61" s="20"/>
      <c r="G61" s="21" t="s">
        <v>22</v>
      </c>
      <c r="H61" s="22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26"/>
      <c r="G62" s="27" t="s">
        <v>26</v>
      </c>
      <c r="H62" s="26"/>
      <c r="I62" s="58"/>
      <c r="J62" s="58"/>
      <c r="K62" s="59" t="n">
        <f aca="false">L62+M62</f>
        <v>0</v>
      </c>
      <c r="L62" s="59"/>
      <c r="M62" s="59"/>
      <c r="N62" s="58"/>
      <c r="O62" s="59" t="n">
        <f aca="false">P62+Q62</f>
        <v>0</v>
      </c>
      <c r="P62" s="59"/>
      <c r="Q62" s="60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33"/>
      <c r="B63" s="34" t="s">
        <v>72</v>
      </c>
      <c r="C63" s="35" t="s">
        <v>20</v>
      </c>
      <c r="D63" s="35"/>
      <c r="E63" s="35" t="s">
        <v>52</v>
      </c>
      <c r="F63" s="36"/>
      <c r="G63" s="21" t="s">
        <v>22</v>
      </c>
      <c r="H63" s="38"/>
      <c r="I63" s="61"/>
      <c r="J63" s="61"/>
      <c r="K63" s="62" t="n">
        <f aca="false">L63+M63</f>
        <v>0</v>
      </c>
      <c r="L63" s="62"/>
      <c r="M63" s="62"/>
      <c r="N63" s="61"/>
      <c r="O63" s="62" t="n">
        <f aca="false">P63+Q63</f>
        <v>0</v>
      </c>
      <c r="P63" s="62"/>
      <c r="Q63" s="63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42"/>
      <c r="G64" s="43" t="s">
        <v>26</v>
      </c>
      <c r="H64" s="42"/>
      <c r="I64" s="64"/>
      <c r="J64" s="64"/>
      <c r="K64" s="65" t="n">
        <f aca="false">L64+M64</f>
        <v>0</v>
      </c>
      <c r="L64" s="65"/>
      <c r="M64" s="65"/>
      <c r="N64" s="64"/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17"/>
      <c r="B65" s="18" t="s">
        <v>73</v>
      </c>
      <c r="C65" s="19" t="s">
        <v>20</v>
      </c>
      <c r="D65" s="19"/>
      <c r="E65" s="19" t="s">
        <v>52</v>
      </c>
      <c r="F65" s="20"/>
      <c r="G65" s="21" t="s">
        <v>22</v>
      </c>
      <c r="H65" s="22" t="n">
        <v>1</v>
      </c>
      <c r="I65" s="67"/>
      <c r="J65" s="67"/>
      <c r="K65" s="68" t="n">
        <f aca="false">L65+M65</f>
        <v>0</v>
      </c>
      <c r="L65" s="68"/>
      <c r="M65" s="68"/>
      <c r="N65" s="67"/>
      <c r="O65" s="68" t="n">
        <f aca="false">P65+Q65</f>
        <v>0</v>
      </c>
      <c r="P65" s="68"/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26"/>
      <c r="G66" s="27" t="s">
        <v>26</v>
      </c>
      <c r="H66" s="26"/>
      <c r="I66" s="58"/>
      <c r="J66" s="58"/>
      <c r="K66" s="59" t="n">
        <f aca="false">L66+M66</f>
        <v>0</v>
      </c>
      <c r="L66" s="59"/>
      <c r="M66" s="59"/>
      <c r="N66" s="58" t="n">
        <v>1</v>
      </c>
      <c r="O66" s="59" t="n">
        <f aca="false">P66+Q66</f>
        <v>0</v>
      </c>
      <c r="P66" s="59"/>
      <c r="Q66" s="60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33"/>
      <c r="B67" s="34" t="s">
        <v>74</v>
      </c>
      <c r="C67" s="35" t="s">
        <v>33</v>
      </c>
      <c r="D67" s="35" t="s">
        <v>75</v>
      </c>
      <c r="E67" s="35" t="s">
        <v>25</v>
      </c>
      <c r="F67" s="36"/>
      <c r="G67" s="21" t="s">
        <v>22</v>
      </c>
      <c r="H67" s="38" t="n">
        <v>6</v>
      </c>
      <c r="I67" s="61"/>
      <c r="J67" s="61"/>
      <c r="K67" s="62" t="n">
        <f aca="false">L67+M67</f>
        <v>0</v>
      </c>
      <c r="L67" s="62"/>
      <c r="M67" s="62"/>
      <c r="N67" s="61" t="n">
        <v>6</v>
      </c>
      <c r="O67" s="62" t="n">
        <f aca="false">P67+Q67</f>
        <v>0</v>
      </c>
      <c r="P67" s="62"/>
      <c r="Q67" s="63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42"/>
      <c r="G68" s="43" t="s">
        <v>26</v>
      </c>
      <c r="H68" s="42"/>
      <c r="I68" s="64"/>
      <c r="J68" s="64"/>
      <c r="K68" s="65" t="n">
        <f aca="false">L68+M68</f>
        <v>0</v>
      </c>
      <c r="L68" s="65"/>
      <c r="M68" s="65"/>
      <c r="N68" s="64" t="n">
        <v>1</v>
      </c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76</v>
      </c>
      <c r="C69" s="74" t="s">
        <v>20</v>
      </c>
      <c r="D69" s="74"/>
      <c r="E69" s="74" t="s">
        <v>25</v>
      </c>
      <c r="F69" s="20"/>
      <c r="G69" s="21" t="s">
        <v>22</v>
      </c>
      <c r="H69" s="22"/>
      <c r="I69" s="67"/>
      <c r="J69" s="67"/>
      <c r="K69" s="68" t="n">
        <f aca="false">L69+M69</f>
        <v>0</v>
      </c>
      <c r="L69" s="68"/>
      <c r="M69" s="68"/>
      <c r="N69" s="67"/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42"/>
      <c r="G70" s="43" t="s">
        <v>26</v>
      </c>
      <c r="H70" s="42" t="n">
        <v>1</v>
      </c>
      <c r="I70" s="64"/>
      <c r="J70" s="64"/>
      <c r="K70" s="65" t="n">
        <f aca="false">L70+M70</f>
        <v>0</v>
      </c>
      <c r="L70" s="65"/>
      <c r="M70" s="65"/>
      <c r="N70" s="64"/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77</v>
      </c>
      <c r="C71" s="19" t="s">
        <v>38</v>
      </c>
      <c r="D71" s="19" t="s">
        <v>78</v>
      </c>
      <c r="E71" s="19" t="s">
        <v>25</v>
      </c>
      <c r="F71" s="22"/>
      <c r="G71" s="21" t="s">
        <v>22</v>
      </c>
      <c r="H71" s="22"/>
      <c r="I71" s="67"/>
      <c r="J71" s="67"/>
      <c r="K71" s="68" t="n">
        <f aca="false">L71+M71</f>
        <v>0</v>
      </c>
      <c r="L71" s="68"/>
      <c r="M71" s="68"/>
      <c r="N71" s="67" t="n">
        <v>1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80"/>
      <c r="G72" s="81" t="s">
        <v>26</v>
      </c>
      <c r="H72" s="80" t="n">
        <v>1</v>
      </c>
      <c r="I72" s="82"/>
      <c r="J72" s="82"/>
      <c r="K72" s="83" t="n">
        <f aca="false">L72+M72</f>
        <v>0</v>
      </c>
      <c r="L72" s="83"/>
      <c r="M72" s="83"/>
      <c r="N72" s="82" t="n">
        <v>3</v>
      </c>
      <c r="O72" s="83" t="n">
        <f aca="false">P72+Q72</f>
        <v>0</v>
      </c>
      <c r="P72" s="83"/>
      <c r="Q72" s="84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false" outlineLevel="0" collapsed="false">
      <c r="A73" s="17"/>
      <c r="B73" s="18"/>
      <c r="C73" s="18"/>
      <c r="D73" s="18"/>
      <c r="E73" s="18"/>
      <c r="F73" s="85"/>
      <c r="G73" s="86" t="s">
        <v>23</v>
      </c>
      <c r="H73" s="85"/>
      <c r="I73" s="58"/>
      <c r="J73" s="58"/>
      <c r="K73" s="59" t="n">
        <f aca="false">L73+M73</f>
        <v>0</v>
      </c>
      <c r="L73" s="59"/>
      <c r="M73" s="59"/>
      <c r="N73" s="58"/>
      <c r="O73" s="59" t="n">
        <f aca="false">P73+Q73</f>
        <v>0</v>
      </c>
      <c r="P73" s="59"/>
      <c r="Q73" s="60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true" outlineLevel="0" collapsed="false">
      <c r="A74" s="33"/>
      <c r="B74" s="34" t="s">
        <v>79</v>
      </c>
      <c r="C74" s="35" t="s">
        <v>20</v>
      </c>
      <c r="D74" s="35"/>
      <c r="E74" s="35" t="s">
        <v>52</v>
      </c>
      <c r="F74" s="38"/>
      <c r="G74" s="21" t="s">
        <v>22</v>
      </c>
      <c r="H74" s="38" t="n">
        <v>1</v>
      </c>
      <c r="I74" s="61"/>
      <c r="J74" s="61"/>
      <c r="K74" s="62" t="n">
        <f aca="false">L74+M74</f>
        <v>0</v>
      </c>
      <c r="L74" s="62"/>
      <c r="M74" s="62"/>
      <c r="N74" s="61"/>
      <c r="O74" s="62" t="n">
        <f aca="false">P74+Q74</f>
        <v>0</v>
      </c>
      <c r="P74" s="62"/>
      <c r="Q74" s="63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.75" hidden="false" customHeight="true" outlineLevel="0" collapsed="false">
      <c r="A75" s="33"/>
      <c r="B75" s="34"/>
      <c r="C75" s="34"/>
      <c r="D75" s="34"/>
      <c r="E75" s="34"/>
      <c r="F75" s="42"/>
      <c r="G75" s="43" t="s">
        <v>26</v>
      </c>
      <c r="H75" s="42"/>
      <c r="I75" s="64"/>
      <c r="J75" s="64"/>
      <c r="K75" s="65" t="n">
        <f aca="false">L75+M75</f>
        <v>0</v>
      </c>
      <c r="L75" s="65"/>
      <c r="M75" s="65"/>
      <c r="N75" s="64"/>
      <c r="O75" s="65" t="n">
        <f aca="false">P75+Q75</f>
        <v>0</v>
      </c>
      <c r="P75" s="65"/>
      <c r="Q75" s="6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" hidden="false" customHeight="true" outlineLevel="0" collapsed="false">
      <c r="A76" s="72"/>
      <c r="B76" s="73" t="s">
        <v>80</v>
      </c>
      <c r="C76" s="74" t="s">
        <v>20</v>
      </c>
      <c r="D76" s="74"/>
      <c r="E76" s="74" t="s">
        <v>81</v>
      </c>
      <c r="F76" s="20"/>
      <c r="G76" s="21" t="s">
        <v>22</v>
      </c>
      <c r="H76" s="22" t="n">
        <v>1</v>
      </c>
      <c r="I76" s="67"/>
      <c r="J76" s="67"/>
      <c r="K76" s="68" t="n">
        <f aca="false">L76+M76</f>
        <v>0</v>
      </c>
      <c r="L76" s="68"/>
      <c r="M76" s="68"/>
      <c r="N76" s="67"/>
      <c r="O76" s="68" t="n">
        <f aca="false">P76+Q76</f>
        <v>0</v>
      </c>
      <c r="P76" s="68"/>
      <c r="Q76" s="69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72"/>
      <c r="B77" s="73"/>
      <c r="C77" s="73"/>
      <c r="D77" s="73"/>
      <c r="E77" s="73"/>
      <c r="F77" s="42"/>
      <c r="G77" s="43" t="s">
        <v>26</v>
      </c>
      <c r="H77" s="42"/>
      <c r="I77" s="64"/>
      <c r="J77" s="64"/>
      <c r="K77" s="65" t="n">
        <f aca="false">L77+M77</f>
        <v>0</v>
      </c>
      <c r="L77" s="65"/>
      <c r="M77" s="65"/>
      <c r="N77" s="64"/>
      <c r="O77" s="65" t="n">
        <f aca="false">P77+Q77</f>
        <v>0</v>
      </c>
      <c r="P77" s="65"/>
      <c r="Q77" s="6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" hidden="false" customHeight="true" outlineLevel="0" collapsed="false">
      <c r="A78" s="17"/>
      <c r="B78" s="18" t="s">
        <v>82</v>
      </c>
      <c r="C78" s="19" t="s">
        <v>20</v>
      </c>
      <c r="D78" s="19"/>
      <c r="E78" s="19" t="s">
        <v>25</v>
      </c>
      <c r="F78" s="22"/>
      <c r="G78" s="21" t="s">
        <v>22</v>
      </c>
      <c r="H78" s="22" t="n">
        <v>1</v>
      </c>
      <c r="I78" s="67"/>
      <c r="J78" s="67"/>
      <c r="K78" s="68" t="n">
        <f aca="false">L78+M78</f>
        <v>0</v>
      </c>
      <c r="L78" s="68"/>
      <c r="M78" s="68"/>
      <c r="N78" s="67"/>
      <c r="O78" s="68" t="n">
        <f aca="false">P78+Q78</f>
        <v>0</v>
      </c>
      <c r="P78" s="68"/>
      <c r="Q78" s="69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.75" hidden="false" customHeight="true" outlineLevel="0" collapsed="false">
      <c r="A79" s="17"/>
      <c r="B79" s="18"/>
      <c r="C79" s="18"/>
      <c r="D79" s="18"/>
      <c r="E79" s="18"/>
      <c r="F79" s="26"/>
      <c r="G79" s="27" t="s">
        <v>26</v>
      </c>
      <c r="H79" s="26"/>
      <c r="I79" s="58"/>
      <c r="J79" s="58"/>
      <c r="K79" s="59" t="n">
        <f aca="false">L79+M79</f>
        <v>0</v>
      </c>
      <c r="L79" s="59"/>
      <c r="M79" s="59"/>
      <c r="N79" s="58"/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17"/>
      <c r="B80" s="18" t="s">
        <v>83</v>
      </c>
      <c r="C80" s="19" t="s">
        <v>20</v>
      </c>
      <c r="D80" s="19"/>
      <c r="E80" s="19" t="s">
        <v>25</v>
      </c>
      <c r="F80" s="20"/>
      <c r="G80" s="21" t="s">
        <v>22</v>
      </c>
      <c r="H80" s="22" t="n">
        <v>1</v>
      </c>
      <c r="I80" s="67"/>
      <c r="J80" s="67"/>
      <c r="K80" s="68" t="n">
        <f aca="false">L80+M80</f>
        <v>0</v>
      </c>
      <c r="L80" s="68"/>
      <c r="M80" s="68"/>
      <c r="N80" s="67"/>
      <c r="O80" s="68" t="n">
        <f aca="false">P80+Q80</f>
        <v>0</v>
      </c>
      <c r="P80" s="68"/>
      <c r="Q80" s="69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17"/>
      <c r="B81" s="18"/>
      <c r="C81" s="18"/>
      <c r="D81" s="18"/>
      <c r="E81" s="18"/>
      <c r="F81" s="26"/>
      <c r="G81" s="27" t="s">
        <v>26</v>
      </c>
      <c r="H81" s="26"/>
      <c r="I81" s="58"/>
      <c r="J81" s="58"/>
      <c r="K81" s="59" t="n">
        <f aca="false">L81+M81</f>
        <v>0</v>
      </c>
      <c r="L81" s="59"/>
      <c r="M81" s="59"/>
      <c r="N81" s="58"/>
      <c r="O81" s="59" t="n">
        <f aca="false">P81+Q81</f>
        <v>0</v>
      </c>
      <c r="P81" s="59"/>
      <c r="Q81" s="60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33"/>
      <c r="B82" s="34" t="s">
        <v>84</v>
      </c>
      <c r="C82" s="35" t="s">
        <v>20</v>
      </c>
      <c r="D82" s="35"/>
      <c r="E82" s="35" t="s">
        <v>52</v>
      </c>
      <c r="F82" s="36"/>
      <c r="G82" s="21" t="s">
        <v>22</v>
      </c>
      <c r="H82" s="38" t="n">
        <v>1</v>
      </c>
      <c r="I82" s="61"/>
      <c r="J82" s="61"/>
      <c r="K82" s="62" t="n">
        <f aca="false">L82+M82</f>
        <v>0</v>
      </c>
      <c r="L82" s="62"/>
      <c r="M82" s="62"/>
      <c r="N82" s="61"/>
      <c r="O82" s="62" t="n">
        <f aca="false">P82+Q82</f>
        <v>0</v>
      </c>
      <c r="P82" s="62"/>
      <c r="Q82" s="63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/>
      <c r="C83" s="34"/>
      <c r="D83" s="34"/>
      <c r="E83" s="34"/>
      <c r="F83" s="71"/>
      <c r="G83" s="43" t="s">
        <v>26</v>
      </c>
      <c r="H83" s="42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85</v>
      </c>
      <c r="C84" s="19" t="s">
        <v>20</v>
      </c>
      <c r="D84" s="19"/>
      <c r="E84" s="19" t="s">
        <v>25</v>
      </c>
      <c r="F84" s="87"/>
      <c r="G84" s="21" t="s">
        <v>22</v>
      </c>
      <c r="H84" s="21"/>
      <c r="I84" s="67"/>
      <c r="J84" s="67"/>
      <c r="K84" s="68" t="n">
        <f aca="false">L84+M84</f>
        <v>0</v>
      </c>
      <c r="L84" s="68"/>
      <c r="M84" s="68"/>
      <c r="N84" s="67"/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88"/>
      <c r="G85" s="27" t="s">
        <v>26</v>
      </c>
      <c r="H85" s="27"/>
      <c r="I85" s="58"/>
      <c r="J85" s="58"/>
      <c r="K85" s="59" t="n">
        <f aca="false">L85+M85</f>
        <v>0</v>
      </c>
      <c r="L85" s="59"/>
      <c r="M85" s="59"/>
      <c r="N85" s="58"/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17"/>
      <c r="B86" s="73" t="s">
        <v>86</v>
      </c>
      <c r="C86" s="74" t="s">
        <v>33</v>
      </c>
      <c r="D86" s="74" t="s">
        <v>87</v>
      </c>
      <c r="E86" s="74" t="s">
        <v>88</v>
      </c>
      <c r="F86" s="20"/>
      <c r="G86" s="21" t="s">
        <v>22</v>
      </c>
      <c r="H86" s="21" t="n">
        <v>5</v>
      </c>
      <c r="I86" s="67" t="n">
        <v>2</v>
      </c>
      <c r="J86" s="67" t="n">
        <v>2</v>
      </c>
      <c r="K86" s="68" t="n">
        <f aca="false">L86+M86</f>
        <v>0</v>
      </c>
      <c r="L86" s="68"/>
      <c r="M86" s="68"/>
      <c r="N86" s="67"/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73"/>
      <c r="C87" s="73"/>
      <c r="D87" s="73"/>
      <c r="E87" s="73"/>
      <c r="F87" s="42"/>
      <c r="G87" s="43" t="s">
        <v>23</v>
      </c>
      <c r="H87" s="42" t="n">
        <v>2</v>
      </c>
      <c r="I87" s="64"/>
      <c r="J87" s="64"/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89</v>
      </c>
      <c r="C88" s="19" t="s">
        <v>20</v>
      </c>
      <c r="D88" s="19" t="s">
        <v>90</v>
      </c>
      <c r="E88" s="19" t="s">
        <v>42</v>
      </c>
      <c r="F88" s="20"/>
      <c r="G88" s="21" t="s">
        <v>22</v>
      </c>
      <c r="H88" s="22" t="n">
        <v>2</v>
      </c>
      <c r="I88" s="67"/>
      <c r="J88" s="67"/>
      <c r="K88" s="68" t="n">
        <f aca="false">L88+M88</f>
        <v>0</v>
      </c>
      <c r="L88" s="68"/>
      <c r="M88" s="68"/>
      <c r="N88" s="67"/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/>
      <c r="G89" s="27" t="s">
        <v>23</v>
      </c>
      <c r="H89" s="26"/>
      <c r="I89" s="58"/>
      <c r="J89" s="58"/>
      <c r="K89" s="59" t="n">
        <f aca="false">L89+M89</f>
        <v>0</v>
      </c>
      <c r="L89" s="59"/>
      <c r="M89" s="59"/>
      <c r="N89" s="58"/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.75" hidden="false" customHeight="true" outlineLevel="0" collapsed="false">
      <c r="A90" s="33"/>
      <c r="B90" s="34" t="s">
        <v>91</v>
      </c>
      <c r="C90" s="35" t="s">
        <v>33</v>
      </c>
      <c r="D90" s="35" t="s">
        <v>92</v>
      </c>
      <c r="E90" s="35" t="s">
        <v>25</v>
      </c>
      <c r="F90" s="36"/>
      <c r="G90" s="21" t="s">
        <v>22</v>
      </c>
      <c r="H90" s="38" t="n">
        <v>2</v>
      </c>
      <c r="I90" s="61"/>
      <c r="J90" s="61"/>
      <c r="K90" s="62" t="n">
        <f aca="false">L90+M90</f>
        <v>0</v>
      </c>
      <c r="L90" s="62"/>
      <c r="M90" s="62"/>
      <c r="N90" s="61"/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89"/>
      <c r="G91" s="90" t="s">
        <v>23</v>
      </c>
      <c r="H91" s="89"/>
      <c r="I91" s="91"/>
      <c r="J91" s="91"/>
      <c r="K91" s="92" t="n">
        <f aca="false">L91+M91</f>
        <v>0</v>
      </c>
      <c r="L91" s="92"/>
      <c r="M91" s="92"/>
      <c r="N91" s="91"/>
      <c r="O91" s="92" t="n">
        <f aca="false">P91+Q91</f>
        <v>0</v>
      </c>
      <c r="P91" s="92"/>
      <c r="Q91" s="93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/>
      <c r="G92" s="43" t="s">
        <v>26</v>
      </c>
      <c r="H92" s="42"/>
      <c r="I92" s="64"/>
      <c r="J92" s="64"/>
      <c r="K92" s="65" t="n">
        <f aca="false">L92+M92</f>
        <v>0</v>
      </c>
      <c r="L92" s="65"/>
      <c r="M92" s="65"/>
      <c r="N92" s="64"/>
      <c r="O92" s="65" t="n">
        <f aca="false">P92+Q92</f>
        <v>0</v>
      </c>
      <c r="P92" s="65"/>
      <c r="Q92" s="6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18" t="s">
        <v>93</v>
      </c>
      <c r="C93" s="19" t="s">
        <v>20</v>
      </c>
      <c r="D93" s="49"/>
      <c r="E93" s="19" t="s">
        <v>50</v>
      </c>
      <c r="F93" s="87"/>
      <c r="G93" s="21" t="s">
        <v>22</v>
      </c>
      <c r="H93" s="22"/>
      <c r="I93" s="67"/>
      <c r="J93" s="67"/>
      <c r="K93" s="68" t="n">
        <f aca="false">L93+M93</f>
        <v>0</v>
      </c>
      <c r="L93" s="68"/>
      <c r="M93" s="68"/>
      <c r="N93" s="67"/>
      <c r="O93" s="68" t="n">
        <f aca="false">P93+Q93</f>
        <v>0</v>
      </c>
      <c r="P93" s="68"/>
      <c r="Q93" s="69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8"/>
      <c r="G94" s="27" t="s">
        <v>26</v>
      </c>
      <c r="H94" s="26" t="n">
        <v>2</v>
      </c>
      <c r="I94" s="58"/>
      <c r="J94" s="58"/>
      <c r="K94" s="59" t="n">
        <f aca="false">L94+M94</f>
        <v>0</v>
      </c>
      <c r="L94" s="59"/>
      <c r="M94" s="59"/>
      <c r="N94" s="58"/>
      <c r="O94" s="59" t="n">
        <f aca="false">P94+Q94</f>
        <v>0</v>
      </c>
      <c r="P94" s="59"/>
      <c r="Q94" s="60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" hidden="false" customHeight="true" outlineLevel="0" collapsed="false">
      <c r="A95" s="54"/>
      <c r="B95" s="55" t="s">
        <v>94</v>
      </c>
      <c r="C95" s="56" t="s">
        <v>20</v>
      </c>
      <c r="D95" s="56"/>
      <c r="E95" s="56" t="s">
        <v>52</v>
      </c>
      <c r="F95" s="36"/>
      <c r="G95" s="37" t="s">
        <v>22</v>
      </c>
      <c r="H95" s="38" t="n">
        <v>1</v>
      </c>
      <c r="I95" s="61"/>
      <c r="J95" s="61"/>
      <c r="K95" s="62" t="n">
        <f aca="false">L95+M95</f>
        <v>0</v>
      </c>
      <c r="L95" s="62"/>
      <c r="M95" s="62"/>
      <c r="N95" s="61" t="n">
        <v>1</v>
      </c>
      <c r="O95" s="62" t="n">
        <f aca="false">P95+Q95</f>
        <v>0</v>
      </c>
      <c r="P95" s="62"/>
      <c r="Q95" s="63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42"/>
      <c r="G96" s="43" t="s">
        <v>26</v>
      </c>
      <c r="H96" s="26" t="n">
        <v>1</v>
      </c>
      <c r="I96" s="58"/>
      <c r="J96" s="58"/>
      <c r="K96" s="59" t="n">
        <f aca="false">L96+M96</f>
        <v>0</v>
      </c>
      <c r="L96" s="59"/>
      <c r="M96" s="59"/>
      <c r="N96" s="58"/>
      <c r="O96" s="59" t="n">
        <f aca="false">P96+Q96</f>
        <v>0</v>
      </c>
      <c r="P96" s="59"/>
      <c r="Q96" s="60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 t="s">
        <v>95</v>
      </c>
      <c r="C97" s="35" t="s">
        <v>33</v>
      </c>
      <c r="D97" s="35" t="s">
        <v>96</v>
      </c>
      <c r="E97" s="35" t="s">
        <v>88</v>
      </c>
      <c r="F97" s="22"/>
      <c r="G97" s="21" t="s">
        <v>22</v>
      </c>
      <c r="H97" s="38"/>
      <c r="I97" s="61"/>
      <c r="J97" s="38"/>
      <c r="K97" s="62" t="n">
        <f aca="false">L97+M97</f>
        <v>0</v>
      </c>
      <c r="L97" s="62"/>
      <c r="M97" s="62"/>
      <c r="N97" s="61"/>
      <c r="O97" s="62" t="n">
        <f aca="false">P97+Q97</f>
        <v>0</v>
      </c>
      <c r="P97" s="62"/>
      <c r="Q97" s="6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23</v>
      </c>
      <c r="H98" s="42"/>
      <c r="I98" s="64"/>
      <c r="J98" s="64"/>
      <c r="K98" s="65" t="n">
        <f aca="false">L98+M98</f>
        <v>0</v>
      </c>
      <c r="L98" s="65"/>
      <c r="M98" s="65"/>
      <c r="N98" s="64"/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72"/>
      <c r="B99" s="73" t="s">
        <v>97</v>
      </c>
      <c r="C99" s="74" t="s">
        <v>20</v>
      </c>
      <c r="D99" s="74"/>
      <c r="E99" s="74" t="s">
        <v>98</v>
      </c>
      <c r="F99" s="20"/>
      <c r="G99" s="21" t="s">
        <v>22</v>
      </c>
      <c r="H99" s="22"/>
      <c r="I99" s="67"/>
      <c r="J99" s="67"/>
      <c r="K99" s="68" t="n">
        <f aca="false">L99+M99</f>
        <v>0</v>
      </c>
      <c r="L99" s="68"/>
      <c r="M99" s="68"/>
      <c r="N99" s="67"/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/>
      <c r="G100" s="43" t="s">
        <v>23</v>
      </c>
      <c r="H100" s="42" t="n">
        <v>1</v>
      </c>
      <c r="I100" s="64"/>
      <c r="J100" s="64"/>
      <c r="K100" s="65" t="n">
        <f aca="false">L100+M100</f>
        <v>0</v>
      </c>
      <c r="L100" s="65"/>
      <c r="M100" s="65"/>
      <c r="N100" s="64"/>
      <c r="O100" s="65" t="n">
        <f aca="false">P100+Q100</f>
        <v>0</v>
      </c>
      <c r="P100" s="65"/>
      <c r="Q100" s="6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 t="s">
        <v>99</v>
      </c>
      <c r="C101" s="19" t="s">
        <v>33</v>
      </c>
      <c r="D101" s="19" t="s">
        <v>100</v>
      </c>
      <c r="E101" s="19" t="s">
        <v>101</v>
      </c>
      <c r="F101" s="20"/>
      <c r="G101" s="21" t="s">
        <v>22</v>
      </c>
      <c r="H101" s="22" t="n">
        <v>1</v>
      </c>
      <c r="I101" s="67"/>
      <c r="J101" s="67"/>
      <c r="K101" s="68" t="n">
        <f aca="false">L101+M101</f>
        <v>0</v>
      </c>
      <c r="L101" s="68"/>
      <c r="M101" s="68"/>
      <c r="N101" s="67" t="n">
        <v>6</v>
      </c>
      <c r="O101" s="68" t="n">
        <f aca="false">P101+Q101</f>
        <v>0</v>
      </c>
      <c r="P101" s="68"/>
      <c r="Q101" s="69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/>
      <c r="G102" s="81" t="s">
        <v>26</v>
      </c>
      <c r="H102" s="81"/>
      <c r="I102" s="82"/>
      <c r="J102" s="82"/>
      <c r="K102" s="83" t="n">
        <f aca="false">L102+M102</f>
        <v>0</v>
      </c>
      <c r="L102" s="83"/>
      <c r="M102" s="83"/>
      <c r="N102" s="82"/>
      <c r="O102" s="83" t="n">
        <f aca="false">P102+Q102</f>
        <v>0</v>
      </c>
      <c r="P102" s="83"/>
      <c r="Q102" s="84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/>
      <c r="G103" s="27" t="s">
        <v>23</v>
      </c>
      <c r="H103" s="27"/>
      <c r="I103" s="58"/>
      <c r="J103" s="58"/>
      <c r="K103" s="59" t="n">
        <f aca="false">L103+M103</f>
        <v>0</v>
      </c>
      <c r="L103" s="59"/>
      <c r="M103" s="59"/>
      <c r="N103" s="58"/>
      <c r="O103" s="59" t="n">
        <f aca="false">P103+Q103</f>
        <v>0</v>
      </c>
      <c r="P103" s="59"/>
      <c r="Q103" s="60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 t="s">
        <v>102</v>
      </c>
      <c r="C104" s="35" t="s">
        <v>20</v>
      </c>
      <c r="D104" s="35"/>
      <c r="E104" s="35" t="s">
        <v>25</v>
      </c>
      <c r="F104" s="36"/>
      <c r="G104" s="21" t="s">
        <v>22</v>
      </c>
      <c r="H104" s="37"/>
      <c r="I104" s="61"/>
      <c r="J104" s="61"/>
      <c r="K104" s="62" t="n">
        <f aca="false">L104+M104</f>
        <v>0</v>
      </c>
      <c r="L104" s="62"/>
      <c r="M104" s="62"/>
      <c r="N104" s="61"/>
      <c r="O104" s="62" t="n">
        <f aca="false">P104+Q104</f>
        <v>0</v>
      </c>
      <c r="P104" s="62"/>
      <c r="Q104" s="63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43" t="s">
        <v>26</v>
      </c>
      <c r="H105" s="43" t="n">
        <v>2</v>
      </c>
      <c r="I105" s="64"/>
      <c r="J105" s="64"/>
      <c r="K105" s="65" t="n">
        <f aca="false">L105+M105</f>
        <v>0</v>
      </c>
      <c r="L105" s="65"/>
      <c r="M105" s="65"/>
      <c r="N105" s="64"/>
      <c r="O105" s="65" t="n">
        <f aca="false">P105+Q105</f>
        <v>0</v>
      </c>
      <c r="P105" s="65"/>
      <c r="Q105" s="6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" hidden="false" customHeight="true" outlineLevel="0" collapsed="false">
      <c r="A106" s="17"/>
      <c r="B106" s="18" t="s">
        <v>103</v>
      </c>
      <c r="C106" s="19" t="s">
        <v>20</v>
      </c>
      <c r="D106" s="19"/>
      <c r="E106" s="19" t="s">
        <v>52</v>
      </c>
      <c r="F106" s="20"/>
      <c r="G106" s="21" t="s">
        <v>22</v>
      </c>
      <c r="H106" s="22"/>
      <c r="I106" s="67"/>
      <c r="J106" s="67"/>
      <c r="K106" s="68" t="n">
        <f aca="false">L106+M106</f>
        <v>0</v>
      </c>
      <c r="L106" s="68"/>
      <c r="M106" s="68"/>
      <c r="N106" s="67"/>
      <c r="O106" s="68" t="n">
        <f aca="false">P106+Q106</f>
        <v>0</v>
      </c>
      <c r="P106" s="68"/>
      <c r="Q106" s="69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26"/>
      <c r="G107" s="27" t="s">
        <v>26</v>
      </c>
      <c r="H107" s="26" t="n">
        <v>1</v>
      </c>
      <c r="I107" s="58"/>
      <c r="J107" s="58"/>
      <c r="K107" s="59" t="n">
        <f aca="false">L107+M107</f>
        <v>0</v>
      </c>
      <c r="L107" s="59"/>
      <c r="M107" s="59"/>
      <c r="N107" s="58"/>
      <c r="O107" s="59" t="n">
        <f aca="false">P107+Q107</f>
        <v>0</v>
      </c>
      <c r="P107" s="59"/>
      <c r="Q107" s="60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" hidden="false" customHeight="true" outlineLevel="0" collapsed="false">
      <c r="A108" s="54"/>
      <c r="B108" s="55" t="s">
        <v>104</v>
      </c>
      <c r="C108" s="56" t="s">
        <v>20</v>
      </c>
      <c r="D108" s="56"/>
      <c r="E108" s="56" t="s">
        <v>25</v>
      </c>
      <c r="F108" s="22"/>
      <c r="G108" s="21" t="s">
        <v>22</v>
      </c>
      <c r="H108" s="38"/>
      <c r="I108" s="61"/>
      <c r="J108" s="61"/>
      <c r="K108" s="62" t="n">
        <f aca="false">L108+M108</f>
        <v>0</v>
      </c>
      <c r="L108" s="62"/>
      <c r="M108" s="62"/>
      <c r="N108" s="61"/>
      <c r="O108" s="62" t="n">
        <f aca="false">P108+Q108</f>
        <v>0</v>
      </c>
      <c r="P108" s="62"/>
      <c r="Q108" s="6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57"/>
      <c r="G109" s="27" t="s">
        <v>26</v>
      </c>
      <c r="H109" s="26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33"/>
      <c r="B110" s="34" t="s">
        <v>105</v>
      </c>
      <c r="C110" s="35" t="s">
        <v>33</v>
      </c>
      <c r="D110" s="35" t="s">
        <v>106</v>
      </c>
      <c r="E110" s="35" t="s">
        <v>107</v>
      </c>
      <c r="F110" s="36"/>
      <c r="G110" s="21" t="s">
        <v>22</v>
      </c>
      <c r="H110" s="38"/>
      <c r="I110" s="61"/>
      <c r="J110" s="61"/>
      <c r="K110" s="62" t="n">
        <f aca="false">L110+M110</f>
        <v>0</v>
      </c>
      <c r="L110" s="62"/>
      <c r="M110" s="62"/>
      <c r="N110" s="61" t="n">
        <v>2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42"/>
      <c r="G111" s="43" t="s">
        <v>26</v>
      </c>
      <c r="H111" s="42"/>
      <c r="I111" s="64"/>
      <c r="J111" s="64"/>
      <c r="K111" s="65" t="n">
        <f aca="false">L111+M111</f>
        <v>0</v>
      </c>
      <c r="L111" s="65"/>
      <c r="M111" s="65"/>
      <c r="N111" s="64" t="n">
        <v>1</v>
      </c>
      <c r="O111" s="65" t="n">
        <f aca="false">P111+Q111</f>
        <v>0</v>
      </c>
      <c r="P111" s="65"/>
      <c r="Q111" s="6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72"/>
      <c r="B112" s="73" t="s">
        <v>108</v>
      </c>
      <c r="C112" s="74" t="s">
        <v>33</v>
      </c>
      <c r="D112" s="74" t="s">
        <v>109</v>
      </c>
      <c r="E112" s="74" t="s">
        <v>25</v>
      </c>
      <c r="F112" s="20"/>
      <c r="G112" s="21" t="s">
        <v>22</v>
      </c>
      <c r="H112" s="22" t="n">
        <v>2</v>
      </c>
      <c r="I112" s="67"/>
      <c r="J112" s="67"/>
      <c r="K112" s="68" t="n">
        <f aca="false">L112+M112</f>
        <v>0</v>
      </c>
      <c r="L112" s="68"/>
      <c r="M112" s="68"/>
      <c r="N112" s="67" t="n">
        <v>1</v>
      </c>
      <c r="O112" s="68" t="n">
        <f aca="false">P112+Q112</f>
        <v>0</v>
      </c>
      <c r="P112" s="68"/>
      <c r="Q112" s="69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72"/>
      <c r="B113" s="73"/>
      <c r="C113" s="73"/>
      <c r="D113" s="73"/>
      <c r="E113" s="73"/>
      <c r="F113" s="42"/>
      <c r="G113" s="43" t="s">
        <v>26</v>
      </c>
      <c r="H113" s="42"/>
      <c r="I113" s="64"/>
      <c r="J113" s="64"/>
      <c r="K113" s="65" t="n">
        <f aca="false">L113+M113</f>
        <v>0</v>
      </c>
      <c r="L113" s="65"/>
      <c r="M113" s="65"/>
      <c r="N113" s="64" t="n">
        <v>2</v>
      </c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110</v>
      </c>
      <c r="C114" s="19" t="s">
        <v>33</v>
      </c>
      <c r="D114" s="19" t="s">
        <v>111</v>
      </c>
      <c r="E114" s="19" t="s">
        <v>25</v>
      </c>
      <c r="F114" s="20"/>
      <c r="G114" s="21" t="s">
        <v>22</v>
      </c>
      <c r="H114" s="22" t="n">
        <v>2</v>
      </c>
      <c r="I114" s="67" t="n">
        <v>1</v>
      </c>
      <c r="J114" s="22" t="n">
        <v>1</v>
      </c>
      <c r="K114" s="68" t="n">
        <f aca="false">L114+M114</f>
        <v>0</v>
      </c>
      <c r="L114" s="68"/>
      <c r="M114" s="68"/>
      <c r="N114" s="67" t="n">
        <v>5</v>
      </c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26</v>
      </c>
      <c r="H115" s="26"/>
      <c r="I115" s="58"/>
      <c r="J115" s="58"/>
      <c r="K115" s="59" t="n">
        <f aca="false">L115+M115</f>
        <v>0</v>
      </c>
      <c r="L115" s="59"/>
      <c r="M115" s="59"/>
      <c r="N115" s="58"/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33"/>
      <c r="B116" s="34" t="s">
        <v>112</v>
      </c>
      <c r="C116" s="35" t="s">
        <v>20</v>
      </c>
      <c r="D116" s="35"/>
      <c r="E116" s="35" t="s">
        <v>25</v>
      </c>
      <c r="F116" s="36"/>
      <c r="G116" s="21" t="s">
        <v>22</v>
      </c>
      <c r="H116" s="38"/>
      <c r="I116" s="61"/>
      <c r="J116" s="61"/>
      <c r="K116" s="94" t="n">
        <f aca="false">L116+M116</f>
        <v>0</v>
      </c>
      <c r="L116" s="94"/>
      <c r="M116" s="62"/>
      <c r="N116" s="61"/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26"/>
      <c r="G117" s="27" t="s">
        <v>26</v>
      </c>
      <c r="H117" s="42" t="n">
        <v>1</v>
      </c>
      <c r="I117" s="64"/>
      <c r="J117" s="64"/>
      <c r="K117" s="65" t="n">
        <f aca="false">L117+M117</f>
        <v>0</v>
      </c>
      <c r="L117" s="65"/>
      <c r="M117" s="65"/>
      <c r="N117" s="64"/>
      <c r="O117" s="65" t="n">
        <f aca="false">P117+Q117</f>
        <v>0</v>
      </c>
      <c r="P117" s="65"/>
      <c r="Q117" s="6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" hidden="false" customHeight="true" outlineLevel="0" collapsed="false">
      <c r="A118" s="17"/>
      <c r="B118" s="18" t="s">
        <v>113</v>
      </c>
      <c r="C118" s="19" t="s">
        <v>20</v>
      </c>
      <c r="D118" s="19"/>
      <c r="E118" s="19" t="s">
        <v>31</v>
      </c>
      <c r="F118" s="36"/>
      <c r="G118" s="21" t="s">
        <v>22</v>
      </c>
      <c r="H118" s="22" t="n">
        <v>1</v>
      </c>
      <c r="I118" s="67"/>
      <c r="J118" s="67"/>
      <c r="K118" s="68" t="n">
        <f aca="false">L118+M118</f>
        <v>0</v>
      </c>
      <c r="L118" s="68"/>
      <c r="M118" s="68"/>
      <c r="N118" s="67"/>
      <c r="O118" s="68" t="n">
        <f aca="false">P118+Q118</f>
        <v>0</v>
      </c>
      <c r="P118" s="68"/>
      <c r="Q118" s="69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57"/>
      <c r="G119" s="27" t="s">
        <v>26</v>
      </c>
      <c r="H119" s="26"/>
      <c r="I119" s="58"/>
      <c r="J119" s="58"/>
      <c r="K119" s="59" t="n">
        <f aca="false">L119+M119</f>
        <v>0</v>
      </c>
      <c r="L119" s="59"/>
      <c r="M119" s="59"/>
      <c r="N119" s="58"/>
      <c r="O119" s="59" t="n">
        <f aca="false">P119+Q119</f>
        <v>0</v>
      </c>
      <c r="P119" s="59"/>
      <c r="Q119" s="60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" hidden="false" customHeight="true" outlineLevel="0" collapsed="false">
      <c r="A120" s="33"/>
      <c r="B120" s="34" t="s">
        <v>114</v>
      </c>
      <c r="C120" s="35" t="s">
        <v>20</v>
      </c>
      <c r="D120" s="95"/>
      <c r="E120" s="35" t="s">
        <v>25</v>
      </c>
      <c r="F120" s="71"/>
      <c r="G120" s="21" t="s">
        <v>22</v>
      </c>
      <c r="H120" s="38"/>
      <c r="I120" s="61"/>
      <c r="J120" s="61"/>
      <c r="K120" s="62" t="n">
        <f aca="false">L120+M120</f>
        <v>0</v>
      </c>
      <c r="L120" s="62"/>
      <c r="M120" s="62"/>
      <c r="N120" s="61"/>
      <c r="O120" s="62" t="n">
        <f aca="false">P120+Q120</f>
        <v>0</v>
      </c>
      <c r="P120" s="62"/>
      <c r="Q120" s="63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42"/>
      <c r="G121" s="43" t="s">
        <v>26</v>
      </c>
      <c r="H121" s="42"/>
      <c r="I121" s="64"/>
      <c r="J121" s="64"/>
      <c r="K121" s="65" t="n">
        <f aca="false">L121+M121</f>
        <v>0</v>
      </c>
      <c r="L121" s="65"/>
      <c r="M121" s="65"/>
      <c r="N121" s="64"/>
      <c r="O121" s="65" t="n">
        <f aca="false">P121+Q121</f>
        <v>0</v>
      </c>
      <c r="P121" s="65"/>
      <c r="Q121" s="6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 t="s">
        <v>115</v>
      </c>
      <c r="C122" s="19" t="s">
        <v>20</v>
      </c>
      <c r="D122" s="19"/>
      <c r="E122" s="19" t="s">
        <v>116</v>
      </c>
      <c r="F122" s="20"/>
      <c r="G122" s="21" t="s">
        <v>22</v>
      </c>
      <c r="H122" s="22" t="n">
        <v>1</v>
      </c>
      <c r="I122" s="67"/>
      <c r="J122" s="67"/>
      <c r="K122" s="68" t="n">
        <f aca="false">L122+M122</f>
        <v>0</v>
      </c>
      <c r="L122" s="68"/>
      <c r="M122" s="68"/>
      <c r="N122" s="67"/>
      <c r="O122" s="68" t="n">
        <f aca="false">P122+Q122</f>
        <v>0</v>
      </c>
      <c r="P122" s="68"/>
      <c r="Q122" s="69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/>
      <c r="G123" s="27" t="s">
        <v>26</v>
      </c>
      <c r="H123" s="26"/>
      <c r="I123" s="58"/>
      <c r="J123" s="58"/>
      <c r="K123" s="59" t="n">
        <f aca="false">L123+M123</f>
        <v>0</v>
      </c>
      <c r="L123" s="59"/>
      <c r="M123" s="59"/>
      <c r="N123" s="58"/>
      <c r="O123" s="59" t="n">
        <f aca="false">P123+Q123</f>
        <v>0</v>
      </c>
      <c r="P123" s="59"/>
      <c r="Q123" s="60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" hidden="false" customHeight="true" outlineLevel="0" collapsed="false">
      <c r="A124" s="33"/>
      <c r="B124" s="34" t="s">
        <v>117</v>
      </c>
      <c r="C124" s="35" t="s">
        <v>33</v>
      </c>
      <c r="D124" s="35" t="s">
        <v>118</v>
      </c>
      <c r="E124" s="35" t="s">
        <v>25</v>
      </c>
      <c r="F124" s="89"/>
      <c r="G124" s="21" t="s">
        <v>22</v>
      </c>
      <c r="H124" s="38"/>
      <c r="I124" s="61"/>
      <c r="J124" s="61"/>
      <c r="K124" s="62" t="n">
        <f aca="false">L124+M124</f>
        <v>0</v>
      </c>
      <c r="L124" s="62"/>
      <c r="M124" s="62"/>
      <c r="N124" s="61"/>
      <c r="O124" s="62" t="n">
        <f aca="false">P124+Q124</f>
        <v>0</v>
      </c>
      <c r="P124" s="62"/>
      <c r="Q124" s="63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" hidden="false" customHeight="false" outlineLevel="0" collapsed="false">
      <c r="A125" s="33"/>
      <c r="B125" s="34"/>
      <c r="C125" s="34"/>
      <c r="D125" s="34"/>
      <c r="E125" s="34"/>
      <c r="F125" s="42"/>
      <c r="G125" s="37" t="s">
        <v>23</v>
      </c>
      <c r="H125" s="38"/>
      <c r="I125" s="61"/>
      <c r="J125" s="61"/>
      <c r="K125" s="62" t="n">
        <f aca="false">L125+M125</f>
        <v>0</v>
      </c>
      <c r="L125" s="62"/>
      <c r="M125" s="62"/>
      <c r="N125" s="61"/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" hidden="false" customHeight="false" outlineLevel="0" collapsed="false">
      <c r="A126" s="33"/>
      <c r="B126" s="34"/>
      <c r="C126" s="34"/>
      <c r="D126" s="34"/>
      <c r="E126" s="34"/>
      <c r="F126" s="42"/>
      <c r="G126" s="43" t="s">
        <v>26</v>
      </c>
      <c r="H126" s="42"/>
      <c r="I126" s="64"/>
      <c r="J126" s="64"/>
      <c r="K126" s="65" t="n">
        <f aca="false">L126+M126</f>
        <v>0</v>
      </c>
      <c r="L126" s="65"/>
      <c r="M126" s="65"/>
      <c r="N126" s="64"/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119</v>
      </c>
      <c r="C127" s="19" t="s">
        <v>20</v>
      </c>
      <c r="D127" s="19"/>
      <c r="E127" s="19" t="s">
        <v>25</v>
      </c>
      <c r="F127" s="20"/>
      <c r="G127" s="21" t="s">
        <v>22</v>
      </c>
      <c r="H127" s="22"/>
      <c r="I127" s="67"/>
      <c r="J127" s="67"/>
      <c r="K127" s="68" t="n">
        <f aca="false">L127+M127</f>
        <v>0</v>
      </c>
      <c r="L127" s="68"/>
      <c r="M127" s="68"/>
      <c r="N127" s="67"/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26"/>
      <c r="G128" s="27" t="s">
        <v>26</v>
      </c>
      <c r="H128" s="26"/>
      <c r="I128" s="58"/>
      <c r="J128" s="58"/>
      <c r="K128" s="59" t="n">
        <f aca="false">L128+M128</f>
        <v>0</v>
      </c>
      <c r="L128" s="59"/>
      <c r="M128" s="59"/>
      <c r="N128" s="58"/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54"/>
      <c r="B129" s="55" t="s">
        <v>120</v>
      </c>
      <c r="C129" s="56" t="s">
        <v>20</v>
      </c>
      <c r="D129" s="56"/>
      <c r="E129" s="56" t="s">
        <v>25</v>
      </c>
      <c r="F129" s="36"/>
      <c r="G129" s="21" t="s">
        <v>22</v>
      </c>
      <c r="H129" s="38"/>
      <c r="I129" s="61"/>
      <c r="J129" s="61"/>
      <c r="K129" s="62" t="n">
        <f aca="false">L129+M129</f>
        <v>0</v>
      </c>
      <c r="L129" s="62"/>
      <c r="M129" s="62"/>
      <c r="N129" s="61" t="n">
        <v>3</v>
      </c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57"/>
      <c r="G130" s="27" t="s">
        <v>26</v>
      </c>
      <c r="H130" s="26"/>
      <c r="I130" s="58"/>
      <c r="J130" s="58"/>
      <c r="K130" s="59" t="n">
        <f aca="false">L130+M130</f>
        <v>0</v>
      </c>
      <c r="L130" s="59"/>
      <c r="M130" s="59"/>
      <c r="N130" s="58"/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33"/>
      <c r="B131" s="34" t="s">
        <v>121</v>
      </c>
      <c r="C131" s="35" t="s">
        <v>20</v>
      </c>
      <c r="D131" s="35"/>
      <c r="E131" s="35" t="s">
        <v>25</v>
      </c>
      <c r="F131" s="36"/>
      <c r="G131" s="21" t="s">
        <v>22</v>
      </c>
      <c r="H131" s="38"/>
      <c r="I131" s="61"/>
      <c r="J131" s="61"/>
      <c r="K131" s="62" t="n">
        <f aca="false">L131+M131</f>
        <v>0</v>
      </c>
      <c r="L131" s="62"/>
      <c r="M131" s="62"/>
      <c r="N131" s="61"/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/>
      <c r="G132" s="43" t="s">
        <v>26</v>
      </c>
      <c r="H132" s="42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122</v>
      </c>
      <c r="C133" s="19" t="s">
        <v>20</v>
      </c>
      <c r="D133" s="19"/>
      <c r="E133" s="19" t="s">
        <v>116</v>
      </c>
      <c r="F133" s="20"/>
      <c r="G133" s="21" t="s">
        <v>22</v>
      </c>
      <c r="H133" s="22" t="n">
        <v>2</v>
      </c>
      <c r="I133" s="67"/>
      <c r="J133" s="67"/>
      <c r="K133" s="68" t="n">
        <f aca="false">L133+M133</f>
        <v>0</v>
      </c>
      <c r="L133" s="68"/>
      <c r="M133" s="68"/>
      <c r="N133" s="67"/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26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33"/>
      <c r="B135" s="34" t="s">
        <v>123</v>
      </c>
      <c r="C135" s="35" t="s">
        <v>20</v>
      </c>
      <c r="D135" s="35"/>
      <c r="E135" s="35" t="s">
        <v>25</v>
      </c>
      <c r="F135" s="36"/>
      <c r="G135" s="21" t="s">
        <v>22</v>
      </c>
      <c r="H135" s="38" t="n">
        <v>2</v>
      </c>
      <c r="I135" s="61"/>
      <c r="J135" s="61"/>
      <c r="K135" s="62" t="n">
        <f aca="false">L135+M135</f>
        <v>0</v>
      </c>
      <c r="L135" s="62"/>
      <c r="M135" s="62"/>
      <c r="N135" s="61" t="n">
        <v>1</v>
      </c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/>
      <c r="G136" s="43" t="s">
        <v>26</v>
      </c>
      <c r="H136" s="42"/>
      <c r="I136" s="64"/>
      <c r="J136" s="64"/>
      <c r="K136" s="65" t="n">
        <f aca="false">L136+M136</f>
        <v>0</v>
      </c>
      <c r="L136" s="65"/>
      <c r="M136" s="65"/>
      <c r="N136" s="64"/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124</v>
      </c>
      <c r="C137" s="19" t="s">
        <v>20</v>
      </c>
      <c r="D137" s="19"/>
      <c r="E137" s="19" t="s">
        <v>88</v>
      </c>
      <c r="F137" s="20"/>
      <c r="G137" s="21" t="s">
        <v>22</v>
      </c>
      <c r="H137" s="22"/>
      <c r="I137" s="67"/>
      <c r="J137" s="67"/>
      <c r="K137" s="68" t="n">
        <f aca="false">L137+M137</f>
        <v>0</v>
      </c>
      <c r="L137" s="68"/>
      <c r="M137" s="68"/>
      <c r="N137" s="67"/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/>
      <c r="G138" s="27" t="s">
        <v>23</v>
      </c>
      <c r="H138" s="26"/>
      <c r="I138" s="58"/>
      <c r="J138" s="58"/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125</v>
      </c>
      <c r="C139" s="35" t="s">
        <v>33</v>
      </c>
      <c r="D139" s="35" t="s">
        <v>126</v>
      </c>
      <c r="E139" s="35" t="s">
        <v>127</v>
      </c>
      <c r="F139" s="36"/>
      <c r="G139" s="21" t="s">
        <v>22</v>
      </c>
      <c r="H139" s="38" t="n">
        <v>1</v>
      </c>
      <c r="I139" s="61"/>
      <c r="J139" s="61"/>
      <c r="K139" s="62" t="n">
        <f aca="false">L139+M139</f>
        <v>0</v>
      </c>
      <c r="L139" s="62"/>
      <c r="M139" s="62"/>
      <c r="N139" s="61"/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/>
      <c r="G140" s="43" t="s">
        <v>23</v>
      </c>
      <c r="H140" s="42" t="n">
        <v>5</v>
      </c>
      <c r="I140" s="64"/>
      <c r="J140" s="64"/>
      <c r="K140" s="65" t="n">
        <f aca="false">L140+M140</f>
        <v>0</v>
      </c>
      <c r="L140" s="65"/>
      <c r="M140" s="65"/>
      <c r="N140" s="64"/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128</v>
      </c>
      <c r="C141" s="19" t="s">
        <v>20</v>
      </c>
      <c r="D141" s="19"/>
      <c r="E141" s="19" t="s">
        <v>25</v>
      </c>
      <c r="F141" s="20"/>
      <c r="G141" s="21" t="s">
        <v>22</v>
      </c>
      <c r="H141" s="22" t="n">
        <v>2</v>
      </c>
      <c r="I141" s="67"/>
      <c r="J141" s="67"/>
      <c r="K141" s="68" t="n">
        <f aca="false">L141+M141</f>
        <v>0</v>
      </c>
      <c r="L141" s="68"/>
      <c r="M141" s="68"/>
      <c r="N141" s="67" t="n">
        <v>5</v>
      </c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26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.75" hidden="false" customHeight="true" outlineLevel="0" collapsed="false">
      <c r="A143" s="72"/>
      <c r="B143" s="73" t="s">
        <v>129</v>
      </c>
      <c r="C143" s="74" t="s">
        <v>38</v>
      </c>
      <c r="D143" s="74" t="s">
        <v>130</v>
      </c>
      <c r="E143" s="74" t="s">
        <v>25</v>
      </c>
      <c r="F143" s="20"/>
      <c r="G143" s="21" t="s">
        <v>22</v>
      </c>
      <c r="H143" s="22"/>
      <c r="I143" s="67"/>
      <c r="J143" s="67"/>
      <c r="K143" s="68" t="n">
        <f aca="false">L143+M143</f>
        <v>0</v>
      </c>
      <c r="L143" s="68"/>
      <c r="M143" s="68"/>
      <c r="N143" s="67"/>
      <c r="O143" s="68" t="n">
        <f aca="false">P143+Q143</f>
        <v>0</v>
      </c>
      <c r="P143" s="68"/>
      <c r="Q143" s="69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/>
      <c r="G144" s="43" t="s">
        <v>26</v>
      </c>
      <c r="H144" s="42"/>
      <c r="I144" s="64"/>
      <c r="J144" s="64"/>
      <c r="K144" s="65" t="n">
        <f aca="false">L144+M144</f>
        <v>0</v>
      </c>
      <c r="L144" s="65"/>
      <c r="M144" s="65"/>
      <c r="N144" s="64"/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6.5" hidden="false" customHeight="true" outlineLevel="0" collapsed="false">
      <c r="A145" s="17"/>
      <c r="B145" s="18" t="s">
        <v>131</v>
      </c>
      <c r="C145" s="19" t="s">
        <v>38</v>
      </c>
      <c r="D145" s="19" t="s">
        <v>130</v>
      </c>
      <c r="E145" s="19" t="s">
        <v>25</v>
      </c>
      <c r="F145" s="20"/>
      <c r="G145" s="21" t="s">
        <v>22</v>
      </c>
      <c r="H145" s="22" t="n">
        <v>2</v>
      </c>
      <c r="I145" s="67"/>
      <c r="J145" s="67"/>
      <c r="K145" s="68" t="n">
        <f aca="false">L145+M145</f>
        <v>0</v>
      </c>
      <c r="L145" s="68"/>
      <c r="M145" s="68"/>
      <c r="N145" s="67"/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6.5" hidden="false" customHeight="true" outlineLevel="0" collapsed="false">
      <c r="A146" s="17"/>
      <c r="B146" s="18"/>
      <c r="C146" s="18"/>
      <c r="D146" s="18"/>
      <c r="E146" s="18"/>
      <c r="F146" s="26"/>
      <c r="G146" s="27" t="s">
        <v>26</v>
      </c>
      <c r="H146" s="26"/>
      <c r="I146" s="58"/>
      <c r="J146" s="58"/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9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6.5" hidden="false" customHeight="true" outlineLevel="0" collapsed="false">
      <c r="A147" s="33"/>
      <c r="B147" s="34" t="s">
        <v>132</v>
      </c>
      <c r="C147" s="35" t="s">
        <v>20</v>
      </c>
      <c r="D147" s="35"/>
      <c r="E147" s="35" t="s">
        <v>69</v>
      </c>
      <c r="F147" s="38"/>
      <c r="G147" s="21" t="s">
        <v>22</v>
      </c>
      <c r="H147" s="38"/>
      <c r="I147" s="61"/>
      <c r="J147" s="61"/>
      <c r="K147" s="62" t="n">
        <f aca="false">L147+M147</f>
        <v>0</v>
      </c>
      <c r="L147" s="62"/>
      <c r="M147" s="62"/>
      <c r="N147" s="61"/>
      <c r="O147" s="62" t="n">
        <f aca="false">P147+Q147</f>
        <v>0</v>
      </c>
      <c r="P147" s="62"/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6.5" hidden="false" customHeight="true" outlineLevel="0" collapsed="false">
      <c r="A148" s="33"/>
      <c r="B148" s="34"/>
      <c r="C148" s="34"/>
      <c r="D148" s="34"/>
      <c r="E148" s="34"/>
      <c r="F148" s="42"/>
      <c r="G148" s="43" t="s">
        <v>26</v>
      </c>
      <c r="H148" s="42"/>
      <c r="I148" s="64"/>
      <c r="J148" s="64"/>
      <c r="K148" s="65" t="n">
        <f aca="false">L148+M148</f>
        <v>0</v>
      </c>
      <c r="L148" s="65"/>
      <c r="M148" s="65"/>
      <c r="N148" s="64"/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6.5" hidden="false" customHeight="true" outlineLevel="0" collapsed="false">
      <c r="A149" s="72"/>
      <c r="B149" s="73" t="s">
        <v>133</v>
      </c>
      <c r="C149" s="74" t="s">
        <v>20</v>
      </c>
      <c r="D149" s="74"/>
      <c r="E149" s="74" t="s">
        <v>25</v>
      </c>
      <c r="F149" s="22"/>
      <c r="G149" s="21" t="s">
        <v>22</v>
      </c>
      <c r="H149" s="22"/>
      <c r="I149" s="67"/>
      <c r="J149" s="67"/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6.5" hidden="false" customHeight="true" outlineLevel="0" collapsed="false">
      <c r="A150" s="72"/>
      <c r="B150" s="73"/>
      <c r="C150" s="73"/>
      <c r="D150" s="73"/>
      <c r="E150" s="73"/>
      <c r="F150" s="42"/>
      <c r="G150" s="43" t="s">
        <v>26</v>
      </c>
      <c r="H150" s="42" t="n">
        <v>1</v>
      </c>
      <c r="I150" s="64"/>
      <c r="J150" s="64"/>
      <c r="K150" s="65" t="n">
        <f aca="false">L150+M150</f>
        <v>0</v>
      </c>
      <c r="L150" s="65"/>
      <c r="M150" s="65"/>
      <c r="N150" s="64"/>
      <c r="O150" s="65" t="n">
        <f aca="false">P150+Q150</f>
        <v>0</v>
      </c>
      <c r="P150" s="65"/>
      <c r="Q150" s="6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6.5" hidden="false" customHeight="true" outlineLevel="0" collapsed="false">
      <c r="A151" s="72"/>
      <c r="B151" s="73" t="s">
        <v>134</v>
      </c>
      <c r="C151" s="74" t="s">
        <v>20</v>
      </c>
      <c r="D151" s="74"/>
      <c r="E151" s="74" t="s">
        <v>25</v>
      </c>
      <c r="F151" s="20"/>
      <c r="G151" s="21" t="s">
        <v>22</v>
      </c>
      <c r="H151" s="22"/>
      <c r="I151" s="67"/>
      <c r="J151" s="67"/>
      <c r="K151" s="68" t="n">
        <f aca="false">L151+M151</f>
        <v>0</v>
      </c>
      <c r="L151" s="68"/>
      <c r="M151" s="68"/>
      <c r="N151" s="67"/>
      <c r="O151" s="68" t="n">
        <f aca="false">P151+Q151</f>
        <v>0</v>
      </c>
      <c r="P151" s="68"/>
      <c r="Q151" s="69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/>
      <c r="G152" s="43" t="s">
        <v>26</v>
      </c>
      <c r="H152" s="42"/>
      <c r="I152" s="64"/>
      <c r="J152" s="64"/>
      <c r="K152" s="65" t="n">
        <f aca="false">L152+M152</f>
        <v>0</v>
      </c>
      <c r="L152" s="65"/>
      <c r="M152" s="65"/>
      <c r="N152" s="64" t="n">
        <v>1</v>
      </c>
      <c r="O152" s="65" t="n">
        <f aca="false">P152+Q152</f>
        <v>0</v>
      </c>
      <c r="P152" s="65"/>
      <c r="Q152" s="6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true" outlineLevel="0" collapsed="false">
      <c r="A153" s="17"/>
      <c r="B153" s="18" t="s">
        <v>135</v>
      </c>
      <c r="C153" s="19" t="s">
        <v>20</v>
      </c>
      <c r="D153" s="19"/>
      <c r="E153" s="19" t="s">
        <v>69</v>
      </c>
      <c r="F153" s="22"/>
      <c r="G153" s="21" t="s">
        <v>22</v>
      </c>
      <c r="H153" s="22" t="n">
        <v>1</v>
      </c>
      <c r="I153" s="67"/>
      <c r="J153" s="67"/>
      <c r="K153" s="68" t="n">
        <f aca="false">L153+M153</f>
        <v>0</v>
      </c>
      <c r="L153" s="68"/>
      <c r="M153" s="68"/>
      <c r="N153" s="67"/>
      <c r="O153" s="68" t="n">
        <f aca="false">P153+Q153</f>
        <v>0</v>
      </c>
      <c r="P153" s="68"/>
      <c r="Q153" s="69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26"/>
      <c r="G154" s="27" t="s">
        <v>26</v>
      </c>
      <c r="H154" s="26"/>
      <c r="I154" s="58"/>
      <c r="J154" s="58"/>
      <c r="K154" s="59" t="n">
        <f aca="false">L154+M154</f>
        <v>0</v>
      </c>
      <c r="L154" s="59"/>
      <c r="M154" s="59"/>
      <c r="N154" s="58"/>
      <c r="O154" s="59" t="n">
        <f aca="false">P154+Q154</f>
        <v>0</v>
      </c>
      <c r="P154" s="59"/>
      <c r="Q154" s="60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33"/>
      <c r="B155" s="34" t="s">
        <v>136</v>
      </c>
      <c r="C155" s="35" t="s">
        <v>20</v>
      </c>
      <c r="D155" s="35"/>
      <c r="E155" s="35" t="s">
        <v>98</v>
      </c>
      <c r="F155" s="36"/>
      <c r="G155" s="21" t="s">
        <v>22</v>
      </c>
      <c r="H155" s="38" t="n">
        <v>2</v>
      </c>
      <c r="I155" s="61"/>
      <c r="J155" s="61"/>
      <c r="K155" s="62" t="n">
        <f aca="false">L155+M155</f>
        <v>0</v>
      </c>
      <c r="L155" s="62"/>
      <c r="M155" s="62"/>
      <c r="N155" s="61"/>
      <c r="O155" s="62" t="n">
        <f aca="false">P155+Q155</f>
        <v>0</v>
      </c>
      <c r="P155" s="62"/>
      <c r="Q155" s="63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/>
      <c r="G156" s="43" t="s">
        <v>23</v>
      </c>
      <c r="H156" s="42" t="n">
        <v>2</v>
      </c>
      <c r="I156" s="64"/>
      <c r="J156" s="64"/>
      <c r="K156" s="65" t="n">
        <f aca="false">L156+M156</f>
        <v>0</v>
      </c>
      <c r="L156" s="65"/>
      <c r="M156" s="65"/>
      <c r="N156" s="64"/>
      <c r="O156" s="65" t="n">
        <f aca="false">P156+Q156</f>
        <v>0</v>
      </c>
      <c r="P156" s="65"/>
      <c r="Q156" s="6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17"/>
      <c r="B157" s="18" t="s">
        <v>137</v>
      </c>
      <c r="C157" s="19" t="s">
        <v>20</v>
      </c>
      <c r="D157" s="19"/>
      <c r="E157" s="19" t="s">
        <v>25</v>
      </c>
      <c r="F157" s="20"/>
      <c r="G157" s="21" t="s">
        <v>22</v>
      </c>
      <c r="H157" s="22"/>
      <c r="I157" s="67"/>
      <c r="J157" s="67"/>
      <c r="K157" s="68" t="n">
        <f aca="false">L157+M157</f>
        <v>0</v>
      </c>
      <c r="L157" s="68"/>
      <c r="M157" s="68"/>
      <c r="N157" s="67"/>
      <c r="O157" s="68" t="n">
        <f aca="false">P157+Q157</f>
        <v>0</v>
      </c>
      <c r="P157" s="68"/>
      <c r="Q157" s="69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20.25" hidden="false" customHeight="true" outlineLevel="0" collapsed="false">
      <c r="A158" s="17"/>
      <c r="B158" s="18"/>
      <c r="C158" s="18"/>
      <c r="D158" s="18"/>
      <c r="E158" s="18"/>
      <c r="F158" s="26"/>
      <c r="G158" s="27" t="s">
        <v>26</v>
      </c>
      <c r="H158" s="26"/>
      <c r="I158" s="58"/>
      <c r="J158" s="58"/>
      <c r="K158" s="59" t="n">
        <f aca="false">L158+M158</f>
        <v>0</v>
      </c>
      <c r="L158" s="59"/>
      <c r="M158" s="59"/>
      <c r="N158" s="58"/>
      <c r="O158" s="59" t="n">
        <f aca="false">P158+Q158</f>
        <v>0</v>
      </c>
      <c r="P158" s="59"/>
      <c r="Q158" s="60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 t="s">
        <v>138</v>
      </c>
      <c r="C159" s="56" t="s">
        <v>33</v>
      </c>
      <c r="D159" s="56" t="s">
        <v>139</v>
      </c>
      <c r="E159" s="56" t="s">
        <v>25</v>
      </c>
      <c r="F159" s="36"/>
      <c r="G159" s="21" t="s">
        <v>22</v>
      </c>
      <c r="H159" s="38"/>
      <c r="I159" s="61"/>
      <c r="J159" s="61"/>
      <c r="K159" s="62" t="n">
        <f aca="false">L159+M159</f>
        <v>0</v>
      </c>
      <c r="L159" s="62"/>
      <c r="M159" s="62"/>
      <c r="N159" s="61"/>
      <c r="O159" s="62" t="n">
        <f aca="false">P159+Q159</f>
        <v>0</v>
      </c>
      <c r="P159" s="62"/>
      <c r="Q159" s="63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27" t="s">
        <v>23</v>
      </c>
      <c r="H160" s="26"/>
      <c r="I160" s="58"/>
      <c r="J160" s="58"/>
      <c r="K160" s="59" t="n">
        <f aca="false">L160+M160</f>
        <v>0</v>
      </c>
      <c r="L160" s="59"/>
      <c r="M160" s="59"/>
      <c r="N160" s="58"/>
      <c r="O160" s="59" t="n">
        <f aca="false">P160+Q160</f>
        <v>0</v>
      </c>
      <c r="P160" s="59"/>
      <c r="Q160" s="60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true" outlineLevel="0" collapsed="false">
      <c r="A161" s="33"/>
      <c r="B161" s="34" t="s">
        <v>140</v>
      </c>
      <c r="C161" s="35" t="s">
        <v>20</v>
      </c>
      <c r="D161" s="35"/>
      <c r="E161" s="35" t="s">
        <v>141</v>
      </c>
      <c r="F161" s="36"/>
      <c r="G161" s="21" t="s">
        <v>22</v>
      </c>
      <c r="H161" s="38"/>
      <c r="I161" s="61"/>
      <c r="J161" s="61"/>
      <c r="K161" s="62" t="n">
        <f aca="false">L161+M161</f>
        <v>0</v>
      </c>
      <c r="L161" s="62"/>
      <c r="M161" s="62"/>
      <c r="N161" s="61" t="n">
        <v>1</v>
      </c>
      <c r="O161" s="62" t="n">
        <f aca="false">P161+Q161</f>
        <v>0</v>
      </c>
      <c r="P161" s="62"/>
      <c r="Q161" s="63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/>
      <c r="G162" s="43" t="s">
        <v>26</v>
      </c>
      <c r="H162" s="42"/>
      <c r="I162" s="64"/>
      <c r="J162" s="64"/>
      <c r="K162" s="65" t="n">
        <f aca="false">L162+M162</f>
        <v>0</v>
      </c>
      <c r="L162" s="65"/>
      <c r="M162" s="65"/>
      <c r="N162" s="64"/>
      <c r="O162" s="65" t="n">
        <f aca="false">P162+Q162</f>
        <v>0</v>
      </c>
      <c r="P162" s="65"/>
      <c r="Q162" s="6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17"/>
      <c r="B163" s="18" t="s">
        <v>142</v>
      </c>
      <c r="C163" s="19" t="s">
        <v>20</v>
      </c>
      <c r="D163" s="19"/>
      <c r="E163" s="19" t="s">
        <v>25</v>
      </c>
      <c r="F163" s="20"/>
      <c r="G163" s="21" t="s">
        <v>22</v>
      </c>
      <c r="H163" s="22"/>
      <c r="I163" s="67"/>
      <c r="J163" s="67"/>
      <c r="K163" s="68" t="n">
        <f aca="false">L163+M163</f>
        <v>0</v>
      </c>
      <c r="L163" s="68"/>
      <c r="M163" s="68"/>
      <c r="N163" s="67"/>
      <c r="O163" s="68" t="n">
        <f aca="false">P163+Q163</f>
        <v>0</v>
      </c>
      <c r="P163" s="68"/>
      <c r="Q163" s="69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/>
      <c r="G164" s="27" t="s">
        <v>26</v>
      </c>
      <c r="H164" s="26"/>
      <c r="I164" s="58"/>
      <c r="J164" s="58"/>
      <c r="K164" s="59" t="n">
        <f aca="false">L164+M164</f>
        <v>0</v>
      </c>
      <c r="L164" s="59"/>
      <c r="M164" s="59"/>
      <c r="N164" s="58"/>
      <c r="O164" s="59" t="n">
        <f aca="false">P164+Q164</f>
        <v>0</v>
      </c>
      <c r="P164" s="59"/>
      <c r="Q164" s="60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33"/>
      <c r="B165" s="34" t="s">
        <v>143</v>
      </c>
      <c r="C165" s="35" t="s">
        <v>20</v>
      </c>
      <c r="D165" s="35"/>
      <c r="E165" s="35" t="s">
        <v>25</v>
      </c>
      <c r="F165" s="36"/>
      <c r="G165" s="21" t="s">
        <v>22</v>
      </c>
      <c r="H165" s="38"/>
      <c r="I165" s="61"/>
      <c r="J165" s="61"/>
      <c r="K165" s="62" t="n">
        <f aca="false">L165+M165</f>
        <v>0</v>
      </c>
      <c r="L165" s="62"/>
      <c r="M165" s="62"/>
      <c r="N165" s="61"/>
      <c r="O165" s="62" t="n">
        <f aca="false">P165+Q165</f>
        <v>0</v>
      </c>
      <c r="P165" s="62"/>
      <c r="Q165" s="63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/>
      <c r="G166" s="43" t="s">
        <v>26</v>
      </c>
      <c r="H166" s="42"/>
      <c r="I166" s="64"/>
      <c r="J166" s="64"/>
      <c r="K166" s="65" t="n">
        <f aca="false">L166+M166</f>
        <v>0</v>
      </c>
      <c r="L166" s="65"/>
      <c r="M166" s="65"/>
      <c r="N166" s="64"/>
      <c r="O166" s="65" t="n">
        <f aca="false">P166+Q166</f>
        <v>0</v>
      </c>
      <c r="P166" s="65"/>
      <c r="Q166" s="6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 t="s">
        <v>144</v>
      </c>
      <c r="C167" s="19" t="s">
        <v>20</v>
      </c>
      <c r="D167" s="19"/>
      <c r="E167" s="19" t="s">
        <v>81</v>
      </c>
      <c r="F167" s="20"/>
      <c r="G167" s="21" t="s">
        <v>22</v>
      </c>
      <c r="H167" s="22"/>
      <c r="I167" s="67"/>
      <c r="J167" s="67"/>
      <c r="K167" s="68" t="n">
        <f aca="false">L167+M167</f>
        <v>0</v>
      </c>
      <c r="L167" s="68"/>
      <c r="M167" s="68"/>
      <c r="N167" s="67"/>
      <c r="O167" s="68" t="n">
        <f aca="false">P167+Q167</f>
        <v>0</v>
      </c>
      <c r="P167" s="68"/>
      <c r="Q167" s="69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/>
      <c r="G168" s="27" t="s">
        <v>26</v>
      </c>
      <c r="H168" s="26" t="n">
        <v>3</v>
      </c>
      <c r="I168" s="58"/>
      <c r="J168" s="58"/>
      <c r="K168" s="59" t="n">
        <f aca="false">L168+M168</f>
        <v>0</v>
      </c>
      <c r="L168" s="59"/>
      <c r="M168" s="59"/>
      <c r="N168" s="58"/>
      <c r="O168" s="59" t="n">
        <f aca="false">P168+Q168</f>
        <v>0</v>
      </c>
      <c r="P168" s="59"/>
      <c r="Q168" s="60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" hidden="false" customHeight="true" outlineLevel="0" collapsed="false">
      <c r="A169" s="33"/>
      <c r="B169" s="34" t="s">
        <v>145</v>
      </c>
      <c r="C169" s="35" t="s">
        <v>20</v>
      </c>
      <c r="D169" s="35"/>
      <c r="E169" s="35" t="s">
        <v>98</v>
      </c>
      <c r="F169" s="36"/>
      <c r="G169" s="21" t="s">
        <v>22</v>
      </c>
      <c r="H169" s="38"/>
      <c r="I169" s="61"/>
      <c r="J169" s="61"/>
      <c r="K169" s="62" t="n">
        <f aca="false">L169+M169</f>
        <v>0</v>
      </c>
      <c r="L169" s="62"/>
      <c r="M169" s="62"/>
      <c r="N169" s="61"/>
      <c r="O169" s="62" t="n">
        <f aca="false">P169+Q169</f>
        <v>0</v>
      </c>
      <c r="P169" s="62"/>
      <c r="Q169" s="63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71"/>
      <c r="G170" s="43" t="s">
        <v>23</v>
      </c>
      <c r="H170" s="42"/>
      <c r="I170" s="64"/>
      <c r="J170" s="64"/>
      <c r="K170" s="65" t="n">
        <f aca="false">L170+M170</f>
        <v>0</v>
      </c>
      <c r="L170" s="65"/>
      <c r="M170" s="65"/>
      <c r="N170" s="64"/>
      <c r="O170" s="65" t="n">
        <f aca="false">P170+Q170</f>
        <v>0</v>
      </c>
      <c r="P170" s="65"/>
      <c r="Q170" s="6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" hidden="false" customHeight="true" outlineLevel="0" collapsed="false">
      <c r="A171" s="17"/>
      <c r="B171" s="18" t="s">
        <v>146</v>
      </c>
      <c r="C171" s="19" t="s">
        <v>20</v>
      </c>
      <c r="D171" s="19"/>
      <c r="E171" s="19" t="s">
        <v>25</v>
      </c>
      <c r="F171" s="22"/>
      <c r="G171" s="21" t="s">
        <v>22</v>
      </c>
      <c r="H171" s="22"/>
      <c r="I171" s="67"/>
      <c r="J171" s="67"/>
      <c r="K171" s="68" t="n">
        <f aca="false">L171+M171</f>
        <v>0</v>
      </c>
      <c r="L171" s="68"/>
      <c r="M171" s="68"/>
      <c r="N171" s="67"/>
      <c r="O171" s="68" t="n">
        <f aca="false">P171+Q171</f>
        <v>0</v>
      </c>
      <c r="P171" s="68"/>
      <c r="Q171" s="69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/>
      <c r="G172" s="27" t="s">
        <v>26</v>
      </c>
      <c r="H172" s="26"/>
      <c r="I172" s="58"/>
      <c r="J172" s="58"/>
      <c r="K172" s="59" t="n">
        <f aca="false">L172+M172</f>
        <v>0</v>
      </c>
      <c r="L172" s="59"/>
      <c r="M172" s="59"/>
      <c r="N172" s="58"/>
      <c r="O172" s="59" t="n">
        <f aca="false">P172+Q172</f>
        <v>0</v>
      </c>
      <c r="P172" s="59"/>
      <c r="Q172" s="60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 t="s">
        <v>147</v>
      </c>
      <c r="C173" s="56" t="s">
        <v>20</v>
      </c>
      <c r="D173" s="56"/>
      <c r="E173" s="56" t="s">
        <v>25</v>
      </c>
      <c r="F173" s="97"/>
      <c r="G173" s="21" t="s">
        <v>22</v>
      </c>
      <c r="H173" s="38"/>
      <c r="I173" s="61"/>
      <c r="J173" s="61"/>
      <c r="K173" s="62" t="n">
        <f aca="false">L173+M173</f>
        <v>0</v>
      </c>
      <c r="L173" s="62"/>
      <c r="M173" s="62"/>
      <c r="N173" s="61"/>
      <c r="O173" s="62" t="n">
        <f aca="false">P173+Q173</f>
        <v>0</v>
      </c>
      <c r="P173" s="62"/>
      <c r="Q173" s="63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26"/>
      <c r="G174" s="27" t="s">
        <v>26</v>
      </c>
      <c r="H174" s="26" t="n">
        <v>1</v>
      </c>
      <c r="I174" s="58"/>
      <c r="J174" s="58"/>
      <c r="K174" s="59" t="n">
        <f aca="false">L174+M174</f>
        <v>0</v>
      </c>
      <c r="L174" s="59"/>
      <c r="M174" s="59"/>
      <c r="N174" s="58"/>
      <c r="O174" s="59" t="n">
        <f aca="false">P174+Q174</f>
        <v>0</v>
      </c>
      <c r="P174" s="59"/>
      <c r="Q174" s="98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" hidden="false" customHeight="true" outlineLevel="0" collapsed="false">
      <c r="A175" s="17"/>
      <c r="B175" s="18" t="s">
        <v>148</v>
      </c>
      <c r="C175" s="19" t="s">
        <v>20</v>
      </c>
      <c r="D175" s="19"/>
      <c r="E175" s="19" t="s">
        <v>21</v>
      </c>
      <c r="F175" s="22"/>
      <c r="G175" s="21" t="s">
        <v>22</v>
      </c>
      <c r="H175" s="22" t="n">
        <v>1</v>
      </c>
      <c r="I175" s="67"/>
      <c r="J175" s="67"/>
      <c r="K175" s="68" t="n">
        <f aca="false">L175+M175</f>
        <v>0</v>
      </c>
      <c r="L175" s="68"/>
      <c r="M175" s="68"/>
      <c r="N175" s="67"/>
      <c r="O175" s="68" t="n">
        <f aca="false">P175+Q175</f>
        <v>0</v>
      </c>
      <c r="P175" s="68"/>
      <c r="Q175" s="69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/>
      <c r="C176" s="18"/>
      <c r="D176" s="18"/>
      <c r="E176" s="18"/>
      <c r="F176" s="26"/>
      <c r="G176" s="27" t="s">
        <v>23</v>
      </c>
      <c r="H176" s="26" t="n">
        <v>1</v>
      </c>
      <c r="I176" s="58"/>
      <c r="J176" s="58"/>
      <c r="K176" s="59" t="n">
        <f aca="false">L176+M176</f>
        <v>0</v>
      </c>
      <c r="L176" s="59"/>
      <c r="M176" s="59"/>
      <c r="N176" s="58"/>
      <c r="O176" s="59" t="n">
        <f aca="false">P176+Q176</f>
        <v>0</v>
      </c>
      <c r="P176" s="59"/>
      <c r="Q176" s="60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99"/>
      <c r="B177" s="100" t="s">
        <v>149</v>
      </c>
      <c r="C177" s="100"/>
      <c r="D177" s="100"/>
      <c r="E177" s="100"/>
      <c r="F177" s="100"/>
      <c r="G177" s="100"/>
      <c r="H177" s="100" t="n">
        <f aca="false">SUM(H9:H176)</f>
        <v>100</v>
      </c>
      <c r="I177" s="100" t="n">
        <f aca="false">SUM(I9:I176)</f>
        <v>4</v>
      </c>
      <c r="J177" s="100" t="n">
        <f aca="false">SUM(J9:J176)</f>
        <v>4</v>
      </c>
      <c r="K177" s="101" t="n">
        <f aca="false">SUM(K9:K176)</f>
        <v>0</v>
      </c>
      <c r="L177" s="101" t="n">
        <f aca="false">SUM(L9:L176)</f>
        <v>0</v>
      </c>
      <c r="M177" s="102" t="n">
        <f aca="false">SUM(M9:M176)</f>
        <v>0</v>
      </c>
      <c r="N177" s="100" t="n">
        <f aca="false">SUM(N9:N176)</f>
        <v>46</v>
      </c>
      <c r="O177" s="102" t="n">
        <f aca="false">SUM(O9:O176)</f>
        <v>0</v>
      </c>
      <c r="P177" s="102" t="n">
        <f aca="false">SUM(P9:P176)</f>
        <v>0</v>
      </c>
      <c r="Q177" s="102" t="n">
        <f aca="false">SUM(Q9:Q176)</f>
        <v>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" hidden="false" customHeight="false" outlineLevel="0" collapsed="false">
      <c r="A178" s="2"/>
      <c r="B178" s="2"/>
      <c r="C178" s="2"/>
      <c r="D178" s="2"/>
      <c r="E178" s="2"/>
      <c r="F178" s="2"/>
      <c r="G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" hidden="false" customHeight="true" outlineLevel="0" collapsed="false">
      <c r="A181" s="2"/>
      <c r="B181" s="2"/>
      <c r="C181" s="2"/>
      <c r="D181" s="2"/>
      <c r="E181" s="2"/>
      <c r="F181" s="103"/>
      <c r="G181" s="104" t="s">
        <v>5</v>
      </c>
      <c r="H181" s="104"/>
      <c r="I181" s="104"/>
      <c r="J181" s="104"/>
      <c r="K181" s="104"/>
      <c r="L181" s="104"/>
      <c r="M181" s="104" t="s">
        <v>6</v>
      </c>
      <c r="N181" s="104"/>
      <c r="O181" s="104"/>
      <c r="P181" s="104"/>
      <c r="Q181" s="105" t="s">
        <v>150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false" outlineLevel="0" collapsed="false">
      <c r="A182" s="2"/>
      <c r="B182" s="2"/>
      <c r="C182" s="2"/>
      <c r="D182" s="2"/>
      <c r="E182" s="2"/>
      <c r="F182" s="103"/>
      <c r="G182" s="106" t="s">
        <v>13</v>
      </c>
      <c r="H182" s="106" t="s">
        <v>14</v>
      </c>
      <c r="I182" s="106" t="s">
        <v>15</v>
      </c>
      <c r="J182" s="106" t="s">
        <v>16</v>
      </c>
      <c r="K182" s="106" t="s">
        <v>17</v>
      </c>
      <c r="L182" s="106" t="s">
        <v>18</v>
      </c>
      <c r="M182" s="106" t="s">
        <v>15</v>
      </c>
      <c r="N182" s="106" t="s">
        <v>16</v>
      </c>
      <c r="O182" s="106" t="s">
        <v>17</v>
      </c>
      <c r="P182" s="106" t="s">
        <v>18</v>
      </c>
      <c r="Q182" s="105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" hidden="false" customHeight="false" outlineLevel="0" collapsed="false">
      <c r="A183" s="2"/>
      <c r="B183" s="2"/>
      <c r="C183" s="2"/>
      <c r="D183" s="2"/>
      <c r="E183" s="2"/>
      <c r="F183" s="107" t="s">
        <v>22</v>
      </c>
      <c r="G183" s="108" t="n">
        <f aca="false">SUMIF($G$9:$G$176,$F$183,H9:H176)</f>
        <v>66</v>
      </c>
      <c r="H183" s="108" t="n">
        <f aca="false">SUMIF($G$9:$G$176,$F$183,I9:I176)</f>
        <v>4</v>
      </c>
      <c r="I183" s="108" t="n">
        <f aca="false">SUMIF($G$9:$G$176,$F$183,J9:J176)</f>
        <v>4</v>
      </c>
      <c r="J183" s="109" t="n">
        <f aca="false">SUMIF($G$9:$G$176,$F$183,K9:K176)</f>
        <v>0</v>
      </c>
      <c r="K183" s="109" t="n">
        <f aca="false">SUMIF($G$9:$G$176,$F$183,L9:L176)</f>
        <v>0</v>
      </c>
      <c r="L183" s="109" t="n">
        <f aca="false">SUMIF($G$9:$G$176,$F$183,M9:M176)</f>
        <v>0</v>
      </c>
      <c r="M183" s="108" t="n">
        <f aca="false">SUMIF($G$9:$G$176,$F$183,N9:N176)</f>
        <v>35</v>
      </c>
      <c r="N183" s="109" t="n">
        <f aca="false">SUMIF($G$9:$G$176,$F$183,O9:O176)</f>
        <v>0</v>
      </c>
      <c r="O183" s="109" t="n">
        <f aca="false">SUMIF($G$9:$G$176,$F$183,P9:P176)</f>
        <v>0</v>
      </c>
      <c r="P183" s="109" t="n">
        <f aca="false">SUMIF($G$9:$G$176,$F$183,Q9:Q176)</f>
        <v>0</v>
      </c>
      <c r="Q183" s="110" t="n">
        <f aca="false">O183+K183</f>
        <v>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false" outlineLevel="0" collapsed="false">
      <c r="A184" s="2"/>
      <c r="B184" s="2"/>
      <c r="C184" s="2"/>
      <c r="D184" s="2"/>
      <c r="E184" s="2"/>
      <c r="F184" s="107" t="s">
        <v>26</v>
      </c>
      <c r="G184" s="108" t="n">
        <f aca="false">SUMIF($G$9:$G$176,$F$184,H9:H176)</f>
        <v>21</v>
      </c>
      <c r="H184" s="108" t="n">
        <f aca="false">SUMIF($G$9:$G$176,$F$184,I9:I176)</f>
        <v>0</v>
      </c>
      <c r="I184" s="108" t="n">
        <f aca="false">SUMIF($G$9:$G$176,$F$184,J9:J176)</f>
        <v>0</v>
      </c>
      <c r="J184" s="109" t="n">
        <f aca="false">SUMIF($G$9:$G$176,$F$184,K9:K176)</f>
        <v>0</v>
      </c>
      <c r="K184" s="109" t="n">
        <f aca="false">SUMIF($G$9:$G$176,$F$184,L9:L176)</f>
        <v>0</v>
      </c>
      <c r="L184" s="109" t="n">
        <f aca="false">SUMIF($G$9:$G$176,$F$184,M9:M176)</f>
        <v>0</v>
      </c>
      <c r="M184" s="108" t="n">
        <f aca="false">SUMIF($G$9:$G$176,$F$184,N9:N176)</f>
        <v>11</v>
      </c>
      <c r="N184" s="109" t="n">
        <f aca="false">SUMIF($G$9:$G$176,$F$184,O9:O176)</f>
        <v>0</v>
      </c>
      <c r="O184" s="109" t="n">
        <f aca="false">SUMIF($G$9:$G$176,$F$184,P9:P176)</f>
        <v>0</v>
      </c>
      <c r="P184" s="109" t="n">
        <f aca="false">SUMIF($G$9:$G$176,$F$184,Q9:Q176)</f>
        <v>0</v>
      </c>
      <c r="Q184" s="110" t="n">
        <f aca="false">O184+K184</f>
        <v>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" hidden="false" customHeight="false" outlineLevel="0" collapsed="false">
      <c r="A185" s="2"/>
      <c r="B185" s="2"/>
      <c r="C185" s="2"/>
      <c r="D185" s="2"/>
      <c r="E185" s="2"/>
      <c r="F185" s="107" t="s">
        <v>23</v>
      </c>
      <c r="G185" s="108" t="n">
        <f aca="false">SUMIF($G$9:$G$176,$F$185,H9:H176)</f>
        <v>13</v>
      </c>
      <c r="H185" s="108" t="n">
        <f aca="false">SUMIF($G$9:$G$176,$F$185,I9:I176)</f>
        <v>0</v>
      </c>
      <c r="I185" s="108" t="n">
        <f aca="false">SUMIF($G$9:$G$176,$F$185,J9:J176)</f>
        <v>0</v>
      </c>
      <c r="J185" s="109" t="n">
        <f aca="false">SUMIF($G$9:$G$176,$F$185,K9:K176)</f>
        <v>0</v>
      </c>
      <c r="K185" s="109" t="n">
        <f aca="false">SUMIF($G$9:$G$176,$F$185,L9:L176)</f>
        <v>0</v>
      </c>
      <c r="L185" s="109" t="n">
        <f aca="false">SUMIF($G$9:$G$176,$F$185,M9:M176)</f>
        <v>0</v>
      </c>
      <c r="M185" s="108" t="n">
        <f aca="false">SUMIF($G$9:$G$176,$F$185,N9:N176)</f>
        <v>0</v>
      </c>
      <c r="N185" s="109" t="n">
        <f aca="false">SUMIF($G$9:$G$176,$F$185,O9:O176)</f>
        <v>0</v>
      </c>
      <c r="O185" s="109" t="n">
        <f aca="false">SUMIF($G$9:$G$176,$F$185,P9:P176)</f>
        <v>0</v>
      </c>
      <c r="P185" s="109" t="n">
        <f aca="false">SUMIF($G$9:$G$176,$F$185,Q9:Q176)</f>
        <v>0</v>
      </c>
      <c r="Q185" s="110" t="n">
        <f aca="false">O185+K185</f>
        <v>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1" t="n">
        <f aca="false">Q185+Q184+Q183</f>
        <v>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" hidden="false" customHeight="false" outlineLevel="0" collapsed="false">
      <c r="A189" s="2"/>
      <c r="B189" s="2"/>
      <c r="C189" s="2"/>
      <c r="D189" s="2"/>
      <c r="E189" s="2"/>
      <c r="F189" s="2"/>
      <c r="G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</sheetData>
  <mergeCells count="42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3"/>
    <mergeCell ref="B71:B73"/>
    <mergeCell ref="C71:C73"/>
    <mergeCell ref="D71:D73"/>
    <mergeCell ref="E71:E73"/>
    <mergeCell ref="A74:A75"/>
    <mergeCell ref="B74:B75"/>
    <mergeCell ref="C74:C75"/>
    <mergeCell ref="D74:D75"/>
    <mergeCell ref="E74:E75"/>
    <mergeCell ref="A76:A77"/>
    <mergeCell ref="B76:B77"/>
    <mergeCell ref="C76:C77"/>
    <mergeCell ref="D76:D77"/>
    <mergeCell ref="E76:E77"/>
    <mergeCell ref="A78:A79"/>
    <mergeCell ref="B78:B79"/>
    <mergeCell ref="C78:C79"/>
    <mergeCell ref="D78:D79"/>
    <mergeCell ref="E78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2"/>
    <mergeCell ref="B90:B92"/>
    <mergeCell ref="C90:C92"/>
    <mergeCell ref="D90:D92"/>
    <mergeCell ref="E90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F181:F182"/>
    <mergeCell ref="G181:L181"/>
    <mergeCell ref="M181:P181"/>
    <mergeCell ref="Q181:Q182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1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16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4</v>
      </c>
      <c r="P9" s="149" t="n">
        <v>2037.73</v>
      </c>
      <c r="Q9" s="149" t="n">
        <f aca="false">R9+S9</f>
        <v>2037.73</v>
      </c>
      <c r="R9" s="149" t="n">
        <v>2037.73</v>
      </c>
      <c r="S9" s="167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13</v>
      </c>
      <c r="I11" s="160" t="n">
        <v>8</v>
      </c>
      <c r="J11" s="160" t="n">
        <v>12</v>
      </c>
      <c r="K11" s="161" t="n">
        <v>19265.45</v>
      </c>
      <c r="L11" s="161" t="n">
        <f aca="false">M11+N11</f>
        <v>3301.64</v>
      </c>
      <c r="M11" s="161" t="n">
        <v>3301.64</v>
      </c>
      <c r="N11" s="239"/>
      <c r="O11" s="151" t="n">
        <v>6</v>
      </c>
      <c r="P11" s="149" t="n">
        <v>21503.99</v>
      </c>
      <c r="Q11" s="149" t="n">
        <f aca="false">R11+S11</f>
        <v>5800.07</v>
      </c>
      <c r="R11" s="149" t="n">
        <v>5800.07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1585.8</v>
      </c>
      <c r="R12" s="155"/>
      <c r="S12" s="156" t="n">
        <v>1585.8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16</v>
      </c>
      <c r="I13" s="148" t="n">
        <v>14</v>
      </c>
      <c r="J13" s="148" t="n">
        <v>18</v>
      </c>
      <c r="K13" s="149" t="n">
        <v>20385.74</v>
      </c>
      <c r="L13" s="149" t="n">
        <f aca="false">M13+N13</f>
        <v>9684.56</v>
      </c>
      <c r="M13" s="149" t="n">
        <v>9684.56</v>
      </c>
      <c r="N13" s="190"/>
      <c r="O13" s="228" t="n">
        <v>4</v>
      </c>
      <c r="P13" s="161" t="n">
        <v>12388.39</v>
      </c>
      <c r="Q13" s="161" t="n">
        <f aca="false">R13+S13</f>
        <v>9745.39</v>
      </c>
      <c r="R13" s="161" t="n">
        <v>9745.39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2</v>
      </c>
      <c r="I14" s="154" t="n">
        <v>2</v>
      </c>
      <c r="J14" s="154" t="n">
        <v>2</v>
      </c>
      <c r="K14" s="155" t="n">
        <v>1938.2</v>
      </c>
      <c r="L14" s="155" t="n">
        <f aca="false">M14+N14</f>
        <v>0</v>
      </c>
      <c r="M14" s="155" t="n">
        <v>0</v>
      </c>
      <c r="N14" s="156"/>
      <c r="O14" s="209" t="n">
        <v>5</v>
      </c>
      <c r="P14" s="155" t="n">
        <v>7221.2</v>
      </c>
      <c r="Q14" s="155" t="n">
        <f aca="false">R14+S14</f>
        <v>8801.9</v>
      </c>
      <c r="R14" s="155" t="n">
        <f aca="false">1585.8+2106.3</f>
        <v>3692.1</v>
      </c>
      <c r="S14" s="167" t="n">
        <v>5109.8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7224.2</v>
      </c>
      <c r="R16" s="166"/>
      <c r="S16" s="167" t="n">
        <v>7224.2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1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3</v>
      </c>
      <c r="I18" s="154" t="n">
        <v>1</v>
      </c>
      <c r="J18" s="154" t="n">
        <v>1</v>
      </c>
      <c r="K18" s="155" t="n">
        <v>704.8</v>
      </c>
      <c r="L18" s="155" t="n">
        <f aca="false">M18+N18</f>
        <v>0</v>
      </c>
      <c r="M18" s="155"/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9</v>
      </c>
      <c r="I19" s="160" t="n">
        <v>4</v>
      </c>
      <c r="J19" s="160" t="n">
        <v>4</v>
      </c>
      <c r="K19" s="161" t="n">
        <v>4012.08</v>
      </c>
      <c r="L19" s="161" t="n">
        <f aca="false">M19+N19</f>
        <v>2267.7</v>
      </c>
      <c r="M19" s="161"/>
      <c r="N19" s="190" t="n">
        <v>2267.7</v>
      </c>
      <c r="O19" s="163" t="n">
        <v>14</v>
      </c>
      <c r="P19" s="161" t="n">
        <v>24738.16</v>
      </c>
      <c r="Q19" s="161" t="n">
        <f aca="false">R19+S19</f>
        <v>16182.38</v>
      </c>
      <c r="R19" s="161" t="n">
        <v>9903.11</v>
      </c>
      <c r="S19" s="190" t="n">
        <v>6279.27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17</v>
      </c>
      <c r="I21" s="160" t="n">
        <v>12</v>
      </c>
      <c r="J21" s="160" t="n">
        <v>17</v>
      </c>
      <c r="K21" s="161" t="n">
        <v>20666.49</v>
      </c>
      <c r="L21" s="161" t="n">
        <f aca="false">M21+N21</f>
        <v>12132.25</v>
      </c>
      <c r="M21" s="161" t="n">
        <v>7998.6</v>
      </c>
      <c r="N21" s="190" t="n">
        <v>4133.65</v>
      </c>
      <c r="O21" s="151" t="n">
        <v>16</v>
      </c>
      <c r="P21" s="149" t="n">
        <v>29046.42</v>
      </c>
      <c r="Q21" s="149" t="n">
        <f aca="false">R21+S21</f>
        <v>17792.17</v>
      </c>
      <c r="R21" s="149" t="n">
        <v>13470.86</v>
      </c>
      <c r="S21" s="198" t="n">
        <v>4321.31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/>
      <c r="P22" s="155"/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10</v>
      </c>
      <c r="I23" s="148" t="n">
        <v>8</v>
      </c>
      <c r="J23" s="148" t="n">
        <v>8</v>
      </c>
      <c r="K23" s="148" t="n">
        <v>2378.7</v>
      </c>
      <c r="L23" s="149" t="n">
        <f aca="false">M23+N23</f>
        <v>0</v>
      </c>
      <c r="M23" s="149"/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15</v>
      </c>
      <c r="I25" s="160" t="n">
        <v>9</v>
      </c>
      <c r="J25" s="160" t="n">
        <v>13</v>
      </c>
      <c r="K25" s="161" t="n">
        <v>21522.43</v>
      </c>
      <c r="L25" s="161" t="n">
        <f aca="false">M25+N25</f>
        <v>10416.76</v>
      </c>
      <c r="M25" s="161" t="n">
        <v>10416.76</v>
      </c>
      <c r="N25" s="190"/>
      <c r="O25" s="151" t="n">
        <v>7</v>
      </c>
      <c r="P25" s="149" t="n">
        <v>12143.43</v>
      </c>
      <c r="Q25" s="149" t="n">
        <f aca="false">R25+S25</f>
        <v>9706.58</v>
      </c>
      <c r="R25" s="149" t="n">
        <v>9706.58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/>
      <c r="J26" s="165"/>
      <c r="K26" s="166"/>
      <c r="L26" s="166" t="n">
        <f aca="false">M26+N26</f>
        <v>0</v>
      </c>
      <c r="M26" s="166"/>
      <c r="N26" s="156"/>
      <c r="O26" s="157" t="n">
        <v>7</v>
      </c>
      <c r="P26" s="155" t="n">
        <v>17972.4</v>
      </c>
      <c r="Q26" s="155" t="n">
        <f aca="false">R26+S26</f>
        <v>15681.8</v>
      </c>
      <c r="R26" s="155"/>
      <c r="S26" s="156" t="n">
        <v>15681.8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/>
      <c r="J27" s="148"/>
      <c r="K27" s="149"/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3202.02</v>
      </c>
      <c r="S27" s="198" t="n">
        <v>3171.6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2</v>
      </c>
      <c r="J28" s="165" t="n">
        <v>2</v>
      </c>
      <c r="K28" s="166" t="n">
        <v>4052.6</v>
      </c>
      <c r="L28" s="166" t="n">
        <f aca="false">M28+N28</f>
        <v>0</v>
      </c>
      <c r="M28" s="166"/>
      <c r="N28" s="156"/>
      <c r="O28" s="157" t="n">
        <v>4</v>
      </c>
      <c r="P28" s="155" t="n">
        <v>14271.6</v>
      </c>
      <c r="Q28" s="155" t="n">
        <f aca="false">R28+S28</f>
        <v>7576.6</v>
      </c>
      <c r="R28" s="155" t="n">
        <f aca="false">5286+2290.6</f>
        <v>7576.6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/>
      <c r="D29" s="19"/>
      <c r="E29" s="19"/>
      <c r="F29" s="20"/>
      <c r="G29" s="146" t="s">
        <v>22</v>
      </c>
      <c r="H29" s="147" t="n">
        <v>6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8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3</v>
      </c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8</v>
      </c>
      <c r="I35" s="160" t="n">
        <v>5</v>
      </c>
      <c r="J35" s="160" t="n">
        <v>5</v>
      </c>
      <c r="K35" s="161" t="n">
        <v>7486.21</v>
      </c>
      <c r="L35" s="161" t="n">
        <f aca="false">M35+N35</f>
        <v>4815.55</v>
      </c>
      <c r="M35" s="161" t="n">
        <v>4815.55</v>
      </c>
      <c r="N35" s="190"/>
      <c r="O35" s="151" t="n">
        <v>10</v>
      </c>
      <c r="P35" s="149" t="n">
        <v>39637.95</v>
      </c>
      <c r="Q35" s="149" t="n">
        <f aca="false">R35+S35</f>
        <v>22406.54</v>
      </c>
      <c r="R35" s="149" t="n">
        <v>17818.29</v>
      </c>
      <c r="S35" s="198" t="n">
        <v>4588.25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1</v>
      </c>
      <c r="J36" s="154" t="n">
        <v>1</v>
      </c>
      <c r="K36" s="155" t="n">
        <v>1233.4</v>
      </c>
      <c r="L36" s="155" t="n">
        <f aca="false">M36+N36</f>
        <v>0</v>
      </c>
      <c r="M36" s="155"/>
      <c r="N36" s="156"/>
      <c r="O36" s="157" t="n">
        <v>3</v>
      </c>
      <c r="P36" s="155" t="n">
        <v>7400.4</v>
      </c>
      <c r="Q36" s="155" t="n">
        <f aca="false">R36+S36</f>
        <v>7400.4</v>
      </c>
      <c r="R36" s="155"/>
      <c r="S36" s="156" t="n">
        <v>7400.4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8</v>
      </c>
      <c r="I37" s="160" t="n">
        <v>7</v>
      </c>
      <c r="J37" s="160" t="n">
        <v>8</v>
      </c>
      <c r="K37" s="161" t="n">
        <v>17227.7</v>
      </c>
      <c r="L37" s="161" t="n">
        <f aca="false">M37+N37</f>
        <v>3765.39</v>
      </c>
      <c r="M37" s="161" t="n">
        <v>1924.1</v>
      </c>
      <c r="N37" s="190" t="n">
        <v>1841.29</v>
      </c>
      <c r="O37" s="151" t="n">
        <v>13</v>
      </c>
      <c r="P37" s="149" t="n">
        <v>52304.05</v>
      </c>
      <c r="Q37" s="149" t="n">
        <f aca="false">R37+S37</f>
        <v>48833.49</v>
      </c>
      <c r="R37" s="149" t="n">
        <v>15233.45</v>
      </c>
      <c r="S37" s="198" t="n">
        <v>33600.04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6</v>
      </c>
      <c r="I39" s="148" t="n">
        <v>1</v>
      </c>
      <c r="J39" s="148" t="n">
        <v>1</v>
      </c>
      <c r="K39" s="149" t="n">
        <v>621.99</v>
      </c>
      <c r="L39" s="149" t="n">
        <f aca="false">M39+N39</f>
        <v>0</v>
      </c>
      <c r="M39" s="149"/>
      <c r="N39" s="190"/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3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2793</v>
      </c>
      <c r="R40" s="166"/>
      <c r="S40" s="167" t="n">
        <v>2793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/>
      <c r="I41" s="148"/>
      <c r="J41" s="148"/>
      <c r="K41" s="149"/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4593.81</v>
      </c>
      <c r="R41" s="149"/>
      <c r="S41" s="198" t="n">
        <v>4593.81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2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157" t="n">
        <v>3</v>
      </c>
      <c r="P42" s="155" t="n">
        <v>11981.6</v>
      </c>
      <c r="Q42" s="155" t="n">
        <f aca="false">R42+S42</f>
        <v>528.6</v>
      </c>
      <c r="R42" s="155" t="n">
        <f aca="false">528.6</f>
        <v>528.6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2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41</v>
      </c>
      <c r="I47" s="148" t="n">
        <v>38</v>
      </c>
      <c r="J47" s="148" t="n">
        <v>38</v>
      </c>
      <c r="K47" s="149" t="n">
        <v>33968.48</v>
      </c>
      <c r="L47" s="149" t="n">
        <f aca="false">M47+N47</f>
        <v>14941.16</v>
      </c>
      <c r="M47" s="149" t="n">
        <v>14941.16</v>
      </c>
      <c r="N47" s="190"/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12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7082.9</v>
      </c>
      <c r="M49" s="161" t="n">
        <v>1830.37</v>
      </c>
      <c r="N49" s="190" t="n">
        <v>5252.53</v>
      </c>
      <c r="O49" s="151" t="n">
        <v>17</v>
      </c>
      <c r="P49" s="149" t="n">
        <v>61726.54</v>
      </c>
      <c r="Q49" s="149" t="n">
        <f aca="false">R49+S49</f>
        <v>38366.17</v>
      </c>
      <c r="R49" s="149" t="n">
        <v>34571.95</v>
      </c>
      <c r="S49" s="198" t="n">
        <v>3794.22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3805.92</v>
      </c>
      <c r="R51" s="161" t="n">
        <v>3805.92</v>
      </c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</f>
        <v>5081.89</v>
      </c>
      <c r="S52" s="156" t="n">
        <v>13038.8</v>
      </c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4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/>
      <c r="S53" s="190" t="n">
        <v>43131.21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56"/>
      <c r="O54" s="168"/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/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/>
      <c r="J56" s="154"/>
      <c r="K56" s="155"/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9</v>
      </c>
      <c r="I57" s="160" t="n">
        <v>6</v>
      </c>
      <c r="J57" s="160" t="n">
        <v>6</v>
      </c>
      <c r="K57" s="161" t="n">
        <v>6422.49</v>
      </c>
      <c r="L57" s="161" t="n">
        <f aca="false">M57+N57</f>
        <v>0</v>
      </c>
      <c r="M57" s="161"/>
      <c r="N57" s="190"/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/>
      <c r="D59" s="19"/>
      <c r="E59" s="19"/>
      <c r="F59" s="20"/>
      <c r="G59" s="146" t="s">
        <v>22</v>
      </c>
      <c r="H59" s="173" t="n">
        <v>6</v>
      </c>
      <c r="I59" s="148"/>
      <c r="J59" s="148"/>
      <c r="K59" s="149"/>
      <c r="L59" s="149" t="n">
        <f aca="false">M59+N59</f>
        <v>0</v>
      </c>
      <c r="M59" s="149"/>
      <c r="N59" s="190"/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3</v>
      </c>
      <c r="I60" s="154"/>
      <c r="J60" s="154"/>
      <c r="K60" s="155"/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6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2238.62</v>
      </c>
      <c r="M61" s="161" t="n">
        <v>2238.62</v>
      </c>
      <c r="N61" s="190"/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1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/>
      <c r="D65" s="78"/>
      <c r="E65" s="56"/>
      <c r="F65" s="38"/>
      <c r="G65" s="158" t="s">
        <v>22</v>
      </c>
      <c r="H65" s="169" t="n">
        <v>8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0</v>
      </c>
      <c r="M65" s="161"/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1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1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/>
      <c r="S71" s="190" t="n">
        <v>881</v>
      </c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/>
      <c r="D73" s="19"/>
      <c r="E73" s="19"/>
      <c r="F73" s="20"/>
      <c r="G73" s="146" t="s">
        <v>22</v>
      </c>
      <c r="H73" s="173" t="n">
        <v>6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17</v>
      </c>
      <c r="I74" s="154" t="n">
        <v>2</v>
      </c>
      <c r="J74" s="154" t="n">
        <v>2</v>
      </c>
      <c r="K74" s="155" t="n">
        <v>2128.2</v>
      </c>
      <c r="L74" s="155" t="n">
        <f aca="false">M74+N74</f>
        <v>0</v>
      </c>
      <c r="M74" s="155"/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1691.52</v>
      </c>
      <c r="M75" s="161" t="n">
        <v>1691.52</v>
      </c>
      <c r="N75" s="190"/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1</v>
      </c>
      <c r="J76" s="165" t="n">
        <v>1</v>
      </c>
      <c r="K76" s="166" t="n">
        <v>704.8</v>
      </c>
      <c r="L76" s="166" t="n">
        <f aca="false">M76+N76</f>
        <v>0</v>
      </c>
      <c r="M76" s="166"/>
      <c r="N76" s="156"/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3</v>
      </c>
      <c r="I77" s="148"/>
      <c r="J77" s="148"/>
      <c r="K77" s="149"/>
      <c r="L77" s="149" t="n">
        <f aca="false">M77+N77</f>
        <v>0</v>
      </c>
      <c r="M77" s="149"/>
      <c r="N77" s="190"/>
      <c r="O77" s="151" t="n">
        <v>7</v>
      </c>
      <c r="P77" s="149" t="n">
        <v>16379.75</v>
      </c>
      <c r="Q77" s="149" t="n">
        <f aca="false">R77+S77</f>
        <v>8726.55</v>
      </c>
      <c r="R77" s="149" t="n">
        <v>2616.57</v>
      </c>
      <c r="S77" s="190" t="n">
        <v>6109.98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1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5</v>
      </c>
      <c r="I81" s="148" t="n">
        <v>2</v>
      </c>
      <c r="J81" s="148" t="n">
        <v>2</v>
      </c>
      <c r="K81" s="149" t="n">
        <v>1573.47</v>
      </c>
      <c r="L81" s="149" t="n">
        <f aca="false">M81+N81</f>
        <v>1573.47</v>
      </c>
      <c r="M81" s="149" t="n">
        <v>704.8</v>
      </c>
      <c r="N81" s="190" t="n">
        <v>868.67</v>
      </c>
      <c r="O81" s="151" t="n">
        <v>5</v>
      </c>
      <c r="P81" s="149" t="n">
        <v>14207.76</v>
      </c>
      <c r="Q81" s="149" t="n">
        <f aca="false">R81+S81</f>
        <v>8219.9</v>
      </c>
      <c r="R81" s="149" t="n">
        <v>4384.96</v>
      </c>
      <c r="S81" s="190" t="n">
        <v>3834.94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30</v>
      </c>
      <c r="I82" s="165" t="n">
        <v>12</v>
      </c>
      <c r="J82" s="165" t="n">
        <v>12</v>
      </c>
      <c r="K82" s="166" t="n">
        <v>13391.2</v>
      </c>
      <c r="L82" s="166" t="n">
        <v>0</v>
      </c>
      <c r="M82" s="166" t="n">
        <v>0</v>
      </c>
      <c r="N82" s="156"/>
      <c r="O82" s="168" t="n">
        <v>23</v>
      </c>
      <c r="P82" s="166" t="n">
        <v>55900.62</v>
      </c>
      <c r="Q82" s="166" t="n">
        <v>9955.3</v>
      </c>
      <c r="R82" s="166" t="n">
        <v>9955.3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3</v>
      </c>
      <c r="I83" s="148" t="n">
        <v>1</v>
      </c>
      <c r="J83" s="148" t="n">
        <v>2</v>
      </c>
      <c r="K83" s="149" t="n">
        <v>4177.7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5</v>
      </c>
      <c r="I84" s="165" t="n">
        <v>1</v>
      </c>
      <c r="J84" s="165" t="n">
        <v>1</v>
      </c>
      <c r="K84" s="166" t="n">
        <v>2290.6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4</v>
      </c>
      <c r="I85" s="148" t="n">
        <v>1</v>
      </c>
      <c r="J85" s="148" t="n">
        <v>1</v>
      </c>
      <c r="K85" s="149" t="n">
        <v>3217.1</v>
      </c>
      <c r="L85" s="149" t="n">
        <f aca="false">M85+N85</f>
        <v>0</v>
      </c>
      <c r="M85" s="149"/>
      <c r="N85" s="190"/>
      <c r="O85" s="151" t="n">
        <v>10</v>
      </c>
      <c r="P85" s="149" t="n">
        <v>18374.16</v>
      </c>
      <c r="Q85" s="149" t="n">
        <f aca="false">R85+S85</f>
        <v>16202.52</v>
      </c>
      <c r="R85" s="149" t="n">
        <v>3419.21</v>
      </c>
      <c r="S85" s="190" t="n">
        <v>12783.31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2</v>
      </c>
      <c r="I86" s="154" t="n">
        <v>1</v>
      </c>
      <c r="J86" s="154" t="n">
        <v>1</v>
      </c>
      <c r="K86" s="235" t="n">
        <v>2718.2</v>
      </c>
      <c r="L86" s="155" t="n">
        <f aca="false">M86+N86</f>
        <v>0</v>
      </c>
      <c r="M86" s="155"/>
      <c r="N86" s="156"/>
      <c r="O86" s="157"/>
      <c r="P86" s="155" t="n">
        <v>5462.2</v>
      </c>
      <c r="Q86" s="155" t="n">
        <f aca="false">R86+S86</f>
        <v>0</v>
      </c>
      <c r="R86" s="155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0</v>
      </c>
      <c r="R87" s="161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4</v>
      </c>
      <c r="I88" s="154"/>
      <c r="J88" s="154"/>
      <c r="K88" s="155"/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2848.8</v>
      </c>
      <c r="L89" s="161" t="n">
        <f aca="false">M89+N89</f>
        <v>0</v>
      </c>
      <c r="M89" s="161"/>
      <c r="N89" s="190"/>
      <c r="O89" s="163" t="n">
        <v>2</v>
      </c>
      <c r="P89" s="161" t="n">
        <v>19787.56</v>
      </c>
      <c r="Q89" s="161" t="n">
        <f aca="false">R89+S89</f>
        <v>0</v>
      </c>
      <c r="R89" s="161"/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 t="n">
        <v>1</v>
      </c>
      <c r="J90" s="165" t="n">
        <v>1</v>
      </c>
      <c r="K90" s="166" t="n">
        <v>704.8</v>
      </c>
      <c r="L90" s="161" t="n">
        <f aca="false">M90+N90</f>
        <v>0</v>
      </c>
      <c r="M90" s="166" t="n">
        <v>0</v>
      </c>
      <c r="N90" s="156"/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881</f>
        <v>881</v>
      </c>
      <c r="S90" s="156" t="n">
        <v>11108.48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3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1395.5</v>
      </c>
      <c r="M91" s="149" t="n">
        <v>1395.5</v>
      </c>
      <c r="N91" s="190"/>
      <c r="O91" s="151" t="n">
        <v>2</v>
      </c>
      <c r="P91" s="149" t="n">
        <v>3239.04</v>
      </c>
      <c r="Q91" s="149" t="n">
        <f aca="false">R91+S91</f>
        <v>3239.04</v>
      </c>
      <c r="R91" s="149" t="n">
        <v>3239.04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3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/>
      <c r="N92" s="156" t="n">
        <v>5109.8</v>
      </c>
      <c r="O92" s="157" t="n">
        <v>1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19</v>
      </c>
      <c r="I93" s="160" t="n">
        <v>11</v>
      </c>
      <c r="J93" s="160" t="n">
        <v>12</v>
      </c>
      <c r="K93" s="161" t="n">
        <v>14359.87</v>
      </c>
      <c r="L93" s="161" t="n">
        <f aca="false">M93+N93</f>
        <v>10561.52</v>
      </c>
      <c r="M93" s="161"/>
      <c r="N93" s="190" t="n">
        <v>10561.52</v>
      </c>
      <c r="O93" s="163" t="n">
        <v>21</v>
      </c>
      <c r="P93" s="161" t="n">
        <v>46869.6</v>
      </c>
      <c r="Q93" s="161" t="n">
        <f aca="false">R93+S93</f>
        <v>40347.41</v>
      </c>
      <c r="R93" s="161"/>
      <c r="S93" s="190" t="n">
        <v>40347.41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8898.1</v>
      </c>
      <c r="R94" s="166"/>
      <c r="S94" s="156" t="n">
        <f aca="false">8898.1</f>
        <v>8898.1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10</v>
      </c>
      <c r="I95" s="148" t="n">
        <v>7</v>
      </c>
      <c r="J95" s="148" t="n">
        <v>7</v>
      </c>
      <c r="K95" s="149" t="n">
        <v>4413.25</v>
      </c>
      <c r="L95" s="149" t="n">
        <f aca="false">M95+N95</f>
        <v>599.08</v>
      </c>
      <c r="M95" s="149" t="n">
        <v>599.08</v>
      </c>
      <c r="N95" s="190"/>
      <c r="O95" s="151" t="n">
        <v>2</v>
      </c>
      <c r="P95" s="149" t="n">
        <v>12380.09</v>
      </c>
      <c r="Q95" s="149" t="n">
        <f aca="false">R95+S95</f>
        <v>3600.4</v>
      </c>
      <c r="R95" s="149" t="n">
        <v>3600.4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6</v>
      </c>
      <c r="P96" s="166" t="n">
        <v>8457.6</v>
      </c>
      <c r="Q96" s="166" t="n">
        <f aca="false">R96+S96</f>
        <v>6167</v>
      </c>
      <c r="R96" s="166"/>
      <c r="S96" s="156" t="n">
        <v>6167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7</v>
      </c>
      <c r="I97" s="148" t="n">
        <v>6</v>
      </c>
      <c r="J97" s="148" t="n">
        <v>6</v>
      </c>
      <c r="K97" s="149" t="n">
        <v>2985.71</v>
      </c>
      <c r="L97" s="149" t="n">
        <f aca="false">M97+N97</f>
        <v>2293.24</v>
      </c>
      <c r="M97" s="149"/>
      <c r="N97" s="190" t="n">
        <v>2293.24</v>
      </c>
      <c r="O97" s="151" t="n">
        <v>4</v>
      </c>
      <c r="P97" s="149" t="n">
        <v>7171.34</v>
      </c>
      <c r="Q97" s="149" t="n">
        <f aca="false">R97+S97</f>
        <v>1673.9</v>
      </c>
      <c r="R97" s="149"/>
      <c r="S97" s="190" t="n">
        <v>1673.9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2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6</v>
      </c>
      <c r="P98" s="182" t="n">
        <v>19029.6</v>
      </c>
      <c r="Q98" s="182" t="n">
        <f aca="false">R98+S98</f>
        <v>5638.4</v>
      </c>
      <c r="R98" s="182" t="n">
        <f aca="false">1057.2+2290.6</f>
        <v>3347.8</v>
      </c>
      <c r="S98" s="167" t="n">
        <v>2290.6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/>
      <c r="J99" s="154"/>
      <c r="K99" s="155"/>
      <c r="L99" s="155" t="n">
        <f aca="false">M99+N99</f>
        <v>0</v>
      </c>
      <c r="M99" s="155"/>
      <c r="N99" s="156"/>
      <c r="O99" s="157" t="n">
        <v>5</v>
      </c>
      <c r="P99" s="155" t="n">
        <v>8281.4</v>
      </c>
      <c r="Q99" s="155" t="n">
        <v>3524</v>
      </c>
      <c r="R99" s="155" t="n">
        <v>3524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2518.96</v>
      </c>
      <c r="M100" s="161"/>
      <c r="N100" s="190" t="n">
        <v>2518.96</v>
      </c>
      <c r="O100" s="163" t="n">
        <v>7</v>
      </c>
      <c r="P100" s="161" t="n">
        <v>34500.95</v>
      </c>
      <c r="Q100" s="161" t="n">
        <f aca="false">R100+S100</f>
        <v>0</v>
      </c>
      <c r="R100" s="161"/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3</v>
      </c>
      <c r="I102" s="148" t="n">
        <v>1</v>
      </c>
      <c r="J102" s="148" t="n">
        <v>1</v>
      </c>
      <c r="K102" s="149" t="n">
        <v>3473.61</v>
      </c>
      <c r="L102" s="149" t="n">
        <f aca="false">M102+N102</f>
        <v>3473.61</v>
      </c>
      <c r="M102" s="149" t="n">
        <v>3473.61</v>
      </c>
      <c r="N102" s="190"/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2195.46</v>
      </c>
      <c r="M104" s="149"/>
      <c r="N104" s="190" t="n">
        <v>2195.46</v>
      </c>
      <c r="O104" s="151" t="n">
        <v>2</v>
      </c>
      <c r="P104" s="149" t="n">
        <v>8372.97</v>
      </c>
      <c r="Q104" s="149" t="n">
        <f aca="false">R104+S104</f>
        <v>1321.5</v>
      </c>
      <c r="R104" s="149"/>
      <c r="S104" s="190" t="n">
        <v>1321.5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/>
      <c r="J105" s="165"/>
      <c r="K105" s="166"/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8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704.8</v>
      </c>
      <c r="M108" s="161" t="n">
        <v>704.8</v>
      </c>
      <c r="N108" s="190"/>
      <c r="O108" s="163" t="n">
        <v>2</v>
      </c>
      <c r="P108" s="161" t="n">
        <v>5828.06</v>
      </c>
      <c r="Q108" s="161" t="n">
        <f aca="false">R108+S108</f>
        <v>5828.06</v>
      </c>
      <c r="R108" s="161" t="n">
        <v>5828.06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2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18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1569.94</v>
      </c>
      <c r="M110" s="161"/>
      <c r="N110" s="190" t="n">
        <v>1569.94</v>
      </c>
      <c r="O110" s="163" t="n">
        <v>20</v>
      </c>
      <c r="P110" s="161" t="n">
        <v>33342.83</v>
      </c>
      <c r="Q110" s="161" t="n">
        <f aca="false">R110+S110</f>
        <v>24550.45</v>
      </c>
      <c r="R110" s="161"/>
      <c r="S110" s="190" t="n">
        <v>24550.45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/>
      <c r="J112" s="148"/>
      <c r="K112" s="149"/>
      <c r="L112" s="149" t="n">
        <f aca="false">M112+N112</f>
        <v>0</v>
      </c>
      <c r="M112" s="149"/>
      <c r="N112" s="190"/>
      <c r="O112" s="151"/>
      <c r="P112" s="149"/>
      <c r="Q112" s="149" t="n">
        <f aca="false">R112+S112</f>
        <v>0</v>
      </c>
      <c r="R112" s="149"/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16</v>
      </c>
      <c r="I114" s="148" t="n">
        <v>10</v>
      </c>
      <c r="J114" s="148" t="n">
        <v>11</v>
      </c>
      <c r="K114" s="149" t="n">
        <v>11020.18</v>
      </c>
      <c r="L114" s="149" t="n">
        <f aca="false">M114+N114</f>
        <v>6747.33</v>
      </c>
      <c r="M114" s="149" t="n">
        <v>6747.33</v>
      </c>
      <c r="N114" s="190"/>
      <c r="O114" s="151" t="n">
        <v>12</v>
      </c>
      <c r="P114" s="149" t="n">
        <v>12627.56</v>
      </c>
      <c r="Q114" s="149" t="n">
        <f aca="false">R114+S114</f>
        <v>8224.14</v>
      </c>
      <c r="R114" s="149" t="n">
        <v>8224.14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15</v>
      </c>
      <c r="I115" s="165" t="n">
        <v>5</v>
      </c>
      <c r="J115" s="165" t="n">
        <v>5</v>
      </c>
      <c r="K115" s="166" t="n">
        <v>7048</v>
      </c>
      <c r="L115" s="166" t="n">
        <v>2995.4</v>
      </c>
      <c r="M115" s="166" t="n">
        <v>2995.4</v>
      </c>
      <c r="N115" s="156"/>
      <c r="O115" s="168" t="n">
        <v>7</v>
      </c>
      <c r="P115" s="166" t="n">
        <v>15065.1</v>
      </c>
      <c r="Q115" s="166" t="n">
        <v>6255.1</v>
      </c>
      <c r="R115" s="166" t="n">
        <v>6255.1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15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8527.08</v>
      </c>
      <c r="M116" s="149"/>
      <c r="N116" s="190" t="n">
        <v>8527.08</v>
      </c>
      <c r="O116" s="151" t="n">
        <v>14</v>
      </c>
      <c r="P116" s="149" t="n">
        <v>48557.24</v>
      </c>
      <c r="Q116" s="149" t="n">
        <f aca="false">R116+S116</f>
        <v>24491.76</v>
      </c>
      <c r="R116" s="149" t="n">
        <v>14024.79</v>
      </c>
      <c r="S116" s="190" t="n">
        <v>10466.97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15</v>
      </c>
      <c r="I118" s="160" t="n">
        <v>3</v>
      </c>
      <c r="J118" s="160" t="n">
        <v>3</v>
      </c>
      <c r="K118" s="161" t="n">
        <v>4915.98</v>
      </c>
      <c r="L118" s="161" t="n">
        <f aca="false">M118+N118</f>
        <v>3805.92</v>
      </c>
      <c r="M118" s="161"/>
      <c r="N118" s="190" t="n">
        <v>3805.92</v>
      </c>
      <c r="O118" s="163" t="n">
        <v>8</v>
      </c>
      <c r="P118" s="161" t="n">
        <v>57142.54</v>
      </c>
      <c r="Q118" s="161" t="n">
        <f aca="false">R118+S118</f>
        <v>27118.06</v>
      </c>
      <c r="R118" s="161" t="n">
        <v>2537.28</v>
      </c>
      <c r="S118" s="190" t="n">
        <v>24580.78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1</v>
      </c>
      <c r="K120" s="166" t="n">
        <v>2290.6</v>
      </c>
      <c r="L120" s="166" t="n">
        <f aca="false">M120+N120</f>
        <v>2290.6</v>
      </c>
      <c r="M120" s="166"/>
      <c r="N120" s="156" t="n">
        <v>2290.6</v>
      </c>
      <c r="O120" s="168" t="n">
        <v>6</v>
      </c>
      <c r="P120" s="166" t="n">
        <v>29143.12</v>
      </c>
      <c r="Q120" s="166" t="n">
        <f aca="false">R120+S120</f>
        <v>29143.48</v>
      </c>
      <c r="R120" s="166"/>
      <c r="S120" s="156" t="n">
        <v>29143.48</v>
      </c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2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4</v>
      </c>
      <c r="J123" s="160" t="n">
        <v>5</v>
      </c>
      <c r="K123" s="161" t="n">
        <v>4189.07</v>
      </c>
      <c r="L123" s="161" t="n">
        <f aca="false">M123+N123</f>
        <v>1436.03</v>
      </c>
      <c r="M123" s="161" t="n">
        <v>563.84</v>
      </c>
      <c r="N123" s="190" t="n">
        <v>872.19</v>
      </c>
      <c r="O123" s="163" t="n">
        <v>7</v>
      </c>
      <c r="P123" s="161" t="n">
        <v>19910.92</v>
      </c>
      <c r="Q123" s="161" t="n">
        <f aca="false">R123+S123</f>
        <v>7694.53</v>
      </c>
      <c r="R123" s="161" t="n">
        <v>3894.06</v>
      </c>
      <c r="S123" s="190" t="n">
        <v>3800.47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9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2</v>
      </c>
      <c r="P124" s="155" t="n">
        <v>6871.8</v>
      </c>
      <c r="Q124" s="155" t="n">
        <f aca="false">R124+S124</f>
        <v>1585.8</v>
      </c>
      <c r="R124" s="155"/>
      <c r="S124" s="156" t="n">
        <v>1585.8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4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1569.94</v>
      </c>
      <c r="M127" s="149"/>
      <c r="N127" s="190" t="n">
        <v>1569.94</v>
      </c>
      <c r="O127" s="151" t="n">
        <v>6</v>
      </c>
      <c r="P127" s="149" t="n">
        <v>19174.92</v>
      </c>
      <c r="Q127" s="149" t="n">
        <f aca="false">R127+S127</f>
        <v>14088.14</v>
      </c>
      <c r="R127" s="149"/>
      <c r="S127" s="190" t="n">
        <v>14088.14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9</v>
      </c>
      <c r="I128" s="165" t="n">
        <v>5</v>
      </c>
      <c r="J128" s="165" t="n">
        <v>5</v>
      </c>
      <c r="K128" s="166" t="n">
        <v>2114.4</v>
      </c>
      <c r="L128" s="166" t="n">
        <v>1409.6</v>
      </c>
      <c r="M128" s="166" t="n">
        <v>1409.6</v>
      </c>
      <c r="N128" s="156"/>
      <c r="O128" s="168" t="n">
        <v>9</v>
      </c>
      <c r="P128" s="166" t="n">
        <v>24491.8</v>
      </c>
      <c r="Q128" s="166" t="n">
        <v>1233.4</v>
      </c>
      <c r="R128" s="166" t="n">
        <v>1233.4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9</v>
      </c>
      <c r="I129" s="148" t="n">
        <v>5</v>
      </c>
      <c r="J129" s="148" t="n">
        <v>6</v>
      </c>
      <c r="K129" s="149" t="n">
        <v>12191.62</v>
      </c>
      <c r="L129" s="149" t="n">
        <f aca="false">M129+N129</f>
        <v>6364.34</v>
      </c>
      <c r="M129" s="149" t="n">
        <v>6364.34</v>
      </c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9</v>
      </c>
      <c r="I130" s="188" t="n">
        <v>2</v>
      </c>
      <c r="J130" s="188" t="n">
        <v>2</v>
      </c>
      <c r="K130" s="189" t="n">
        <v>1409.6</v>
      </c>
      <c r="L130" s="189" t="n">
        <f aca="false">M130+N130</f>
        <v>0</v>
      </c>
      <c r="M130" s="189"/>
      <c r="N130" s="167"/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4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/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18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2378.7</v>
      </c>
      <c r="M134" s="161" t="n">
        <v>396.45</v>
      </c>
      <c r="N134" s="190" t="n">
        <v>1982.25</v>
      </c>
      <c r="O134" s="163" t="n">
        <v>19</v>
      </c>
      <c r="P134" s="161" t="n">
        <v>27295.59</v>
      </c>
      <c r="Q134" s="161" t="n">
        <f aca="false">R134+S134</f>
        <v>13947.56</v>
      </c>
      <c r="R134" s="161" t="n">
        <v>13683.26</v>
      </c>
      <c r="S134" s="190" t="n">
        <v>264.3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7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0</v>
      </c>
      <c r="M135" s="182"/>
      <c r="N135" s="167"/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2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0</v>
      </c>
      <c r="M137" s="149"/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12</v>
      </c>
      <c r="I139" s="160" t="n">
        <v>9</v>
      </c>
      <c r="J139" s="160" t="n">
        <v>9</v>
      </c>
      <c r="K139" s="161" t="n">
        <v>9303.36</v>
      </c>
      <c r="L139" s="161" t="n">
        <f aca="false">M139+N139</f>
        <v>1057.2</v>
      </c>
      <c r="M139" s="161" t="n">
        <v>1057.2</v>
      </c>
      <c r="N139" s="190"/>
      <c r="O139" s="163" t="n">
        <v>6</v>
      </c>
      <c r="P139" s="161" t="n">
        <v>20530.3</v>
      </c>
      <c r="Q139" s="161" t="n">
        <f aca="false">R139+S139</f>
        <v>7521.1</v>
      </c>
      <c r="R139" s="161" t="n">
        <v>7521.1</v>
      </c>
      <c r="S139" s="190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0</v>
      </c>
      <c r="M140" s="166"/>
      <c r="N140" s="156"/>
      <c r="O140" s="168" t="n">
        <v>2</v>
      </c>
      <c r="P140" s="166" t="n">
        <v>5286</v>
      </c>
      <c r="Q140" s="166" t="n">
        <f aca="false">R140+S140</f>
        <v>4405</v>
      </c>
      <c r="R140" s="166"/>
      <c r="S140" s="156" t="n">
        <v>4405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0</v>
      </c>
      <c r="M141" s="149"/>
      <c r="N141" s="190"/>
      <c r="O141" s="151" t="n">
        <v>5</v>
      </c>
      <c r="P141" s="149" t="n">
        <v>20672.92</v>
      </c>
      <c r="Q141" s="149" t="n">
        <f aca="false">R141+S141</f>
        <v>10162.24</v>
      </c>
      <c r="R141" s="149" t="n">
        <v>10162.24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/>
      <c r="S142" s="156" t="n">
        <v>2290.6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/>
      <c r="P143" s="161"/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57"/>
      <c r="G144" s="152" t="s">
        <v>26</v>
      </c>
      <c r="H144" s="153"/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/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14967.24</v>
      </c>
      <c r="R145" s="161" t="n">
        <v>7780.05</v>
      </c>
      <c r="S145" s="190" t="n">
        <v>7187.19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2643</v>
      </c>
      <c r="R146" s="166" t="n">
        <f aca="false">881</f>
        <v>881</v>
      </c>
      <c r="S146" s="156" t="n">
        <v>1762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6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1895.47</v>
      </c>
      <c r="M147" s="149"/>
      <c r="N147" s="190" t="n">
        <v>1895.47</v>
      </c>
      <c r="O147" s="151" t="n">
        <v>17</v>
      </c>
      <c r="P147" s="149" t="n">
        <v>40409.38</v>
      </c>
      <c r="Q147" s="149" t="n">
        <f aca="false">R147+S147</f>
        <v>22194.99</v>
      </c>
      <c r="R147" s="149" t="n">
        <v>3347.8</v>
      </c>
      <c r="S147" s="190" t="n">
        <v>18847.19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8</v>
      </c>
      <c r="I148" s="165" t="n">
        <v>4</v>
      </c>
      <c r="J148" s="165" t="n">
        <v>4</v>
      </c>
      <c r="K148" s="166" t="n">
        <v>18042.88</v>
      </c>
      <c r="L148" s="166" t="n">
        <f aca="false">M148+N148</f>
        <v>0</v>
      </c>
      <c r="M148" s="166"/>
      <c r="N148" s="156"/>
      <c r="O148" s="157" t="n">
        <v>9</v>
      </c>
      <c r="P148" s="155" t="n">
        <v>30218.3</v>
      </c>
      <c r="Q148" s="155" t="n">
        <f aca="false">R148+S148</f>
        <v>17866.68</v>
      </c>
      <c r="R148" s="155" t="n">
        <f aca="false">2643</f>
        <v>2643</v>
      </c>
      <c r="S148" s="156" t="n">
        <v>15223.68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17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9291.07</v>
      </c>
      <c r="M149" s="149" t="n">
        <v>1494.18</v>
      </c>
      <c r="N149" s="190" t="n">
        <v>7796.89</v>
      </c>
      <c r="O149" s="163" t="n">
        <v>12</v>
      </c>
      <c r="P149" s="161" t="n">
        <v>42553.58</v>
      </c>
      <c r="Q149" s="161" t="n">
        <f aca="false">R149+S149</f>
        <v>19724.71</v>
      </c>
      <c r="R149" s="161" t="n">
        <v>8854.81</v>
      </c>
      <c r="S149" s="190" t="n">
        <v>10869.9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26" t="s">
        <v>196</v>
      </c>
      <c r="G150" s="152" t="s">
        <v>26</v>
      </c>
      <c r="H150" s="153" t="n">
        <v>1</v>
      </c>
      <c r="I150" s="154" t="n">
        <v>1</v>
      </c>
      <c r="J150" s="154" t="n">
        <v>0</v>
      </c>
      <c r="K150" s="155"/>
      <c r="L150" s="155" t="n">
        <f aca="false">M150+N150</f>
        <v>0</v>
      </c>
      <c r="M150" s="155"/>
      <c r="N150" s="15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33"/>
      <c r="B151" s="34" t="s">
        <v>112</v>
      </c>
      <c r="C151" s="35" t="s">
        <v>20</v>
      </c>
      <c r="D151" s="35" t="s">
        <v>197</v>
      </c>
      <c r="E151" s="35" t="s">
        <v>25</v>
      </c>
      <c r="F151" s="36"/>
      <c r="G151" s="146" t="s">
        <v>22</v>
      </c>
      <c r="H151" s="159" t="n">
        <v>6</v>
      </c>
      <c r="I151" s="160" t="n">
        <v>6</v>
      </c>
      <c r="J151" s="160" t="n">
        <v>7</v>
      </c>
      <c r="K151" s="140" t="n">
        <v>23292.74</v>
      </c>
      <c r="L151" s="140" t="n">
        <f aca="false">M151+N151</f>
        <v>9984.81</v>
      </c>
      <c r="M151" s="140" t="n">
        <v>1162.92</v>
      </c>
      <c r="N151" s="190" t="n">
        <v>8821.89</v>
      </c>
      <c r="O151" s="163" t="n">
        <v>4</v>
      </c>
      <c r="P151" s="161" t="n">
        <v>20244.62</v>
      </c>
      <c r="Q151" s="161" t="n">
        <f aca="false">R151+S151</f>
        <v>1198.16</v>
      </c>
      <c r="R151" s="161"/>
      <c r="S151" s="190" t="n">
        <v>1198.16</v>
      </c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33"/>
      <c r="B152" s="34"/>
      <c r="C152" s="34"/>
      <c r="D152" s="34"/>
      <c r="E152" s="34"/>
      <c r="F152" s="26" t="s">
        <v>198</v>
      </c>
      <c r="G152" s="152" t="s">
        <v>26</v>
      </c>
      <c r="H152" s="171" t="n">
        <v>2</v>
      </c>
      <c r="I152" s="165"/>
      <c r="J152" s="165"/>
      <c r="K152" s="166"/>
      <c r="L152" s="166" t="n">
        <f aca="false">M152+N152</f>
        <v>0</v>
      </c>
      <c r="M152" s="166"/>
      <c r="N152" s="156"/>
      <c r="O152" s="168" t="n">
        <v>1</v>
      </c>
      <c r="P152" s="166" t="n">
        <v>2114.4</v>
      </c>
      <c r="Q152" s="166" t="n">
        <f aca="false">R152+S152</f>
        <v>2114.4</v>
      </c>
      <c r="R152" s="166"/>
      <c r="S152" s="156" t="n">
        <v>2114.4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17"/>
      <c r="B153" s="18" t="s">
        <v>113</v>
      </c>
      <c r="C153" s="19" t="s">
        <v>20</v>
      </c>
      <c r="D153" s="19"/>
      <c r="E153" s="19" t="s">
        <v>31</v>
      </c>
      <c r="F153" s="36"/>
      <c r="G153" s="146" t="s">
        <v>22</v>
      </c>
      <c r="H153" s="159" t="n">
        <v>8</v>
      </c>
      <c r="I153" s="148" t="n">
        <v>3</v>
      </c>
      <c r="J153" s="148" t="n">
        <v>4</v>
      </c>
      <c r="K153" s="149" t="n">
        <v>7903.02</v>
      </c>
      <c r="L153" s="149" t="n">
        <f aca="false">M153+N153</f>
        <v>4858.85</v>
      </c>
      <c r="M153" s="149" t="n">
        <v>4858.85</v>
      </c>
      <c r="N153" s="190"/>
      <c r="O153" s="151" t="n">
        <v>5</v>
      </c>
      <c r="P153" s="149" t="n">
        <v>6770.34</v>
      </c>
      <c r="Q153" s="149" t="n">
        <f aca="false">R153+S153</f>
        <v>3839.24</v>
      </c>
      <c r="R153" s="149" t="n">
        <v>1583.16</v>
      </c>
      <c r="S153" s="190" t="n">
        <v>2256.08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57"/>
      <c r="G154" s="152" t="s">
        <v>26</v>
      </c>
      <c r="H154" s="153"/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33"/>
      <c r="B155" s="34" t="s">
        <v>114</v>
      </c>
      <c r="C155" s="35" t="s">
        <v>20</v>
      </c>
      <c r="D155" s="95"/>
      <c r="E155" s="35" t="s">
        <v>25</v>
      </c>
      <c r="F155" s="71"/>
      <c r="G155" s="146" t="s">
        <v>22</v>
      </c>
      <c r="H155" s="169" t="n">
        <v>1</v>
      </c>
      <c r="I155" s="160"/>
      <c r="J155" s="160"/>
      <c r="K155" s="161"/>
      <c r="L155" s="161" t="n">
        <f aca="false">M155+N155</f>
        <v>0</v>
      </c>
      <c r="M155" s="161"/>
      <c r="N155" s="190"/>
      <c r="O155" s="163"/>
      <c r="P155" s="161"/>
      <c r="Q155" s="161" t="n">
        <f aca="false">R155+S155</f>
        <v>0</v>
      </c>
      <c r="R155" s="161"/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274</v>
      </c>
      <c r="G156" s="164" t="s">
        <v>26</v>
      </c>
      <c r="H156" s="175" t="n">
        <v>2</v>
      </c>
      <c r="I156" s="165" t="n">
        <v>1</v>
      </c>
      <c r="J156" s="165" t="n">
        <v>1</v>
      </c>
      <c r="K156" s="166" t="n">
        <v>2947.54</v>
      </c>
      <c r="L156" s="166" t="n">
        <f aca="false">M156+N156</f>
        <v>0</v>
      </c>
      <c r="M156" s="166"/>
      <c r="N156" s="156"/>
      <c r="O156" s="168"/>
      <c r="P156" s="166"/>
      <c r="Q156" s="166" t="n">
        <f aca="false">R156+S156</f>
        <v>0</v>
      </c>
      <c r="R156" s="166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17"/>
      <c r="B157" s="18" t="s">
        <v>243</v>
      </c>
      <c r="C157" s="219"/>
      <c r="D157" s="19"/>
      <c r="E157" s="19"/>
      <c r="F157" s="20"/>
      <c r="G157" s="146" t="s">
        <v>22</v>
      </c>
      <c r="H157" s="173" t="s">
        <v>151</v>
      </c>
      <c r="I157" s="148"/>
      <c r="J157" s="148"/>
      <c r="K157" s="149"/>
      <c r="L157" s="149" t="n">
        <f aca="false">M157+N157</f>
        <v>0</v>
      </c>
      <c r="M157" s="149"/>
      <c r="N157" s="190"/>
      <c r="O157" s="206"/>
      <c r="P157" s="149"/>
      <c r="Q157" s="149" t="n">
        <f aca="false">R157+S157</f>
        <v>0</v>
      </c>
      <c r="R157" s="149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18"/>
      <c r="C158" s="18"/>
      <c r="D158" s="18"/>
      <c r="E158" s="18"/>
      <c r="F158" s="26" t="s">
        <v>275</v>
      </c>
      <c r="G158" s="152" t="s">
        <v>26</v>
      </c>
      <c r="H158" s="174" t="n">
        <v>4</v>
      </c>
      <c r="I158" s="154" t="n">
        <v>1</v>
      </c>
      <c r="J158" s="154" t="n">
        <v>1</v>
      </c>
      <c r="K158" s="155" t="n">
        <v>528.6</v>
      </c>
      <c r="L158" s="155" t="n">
        <f aca="false">M158+N158</f>
        <v>0</v>
      </c>
      <c r="M158" s="155"/>
      <c r="N158" s="156"/>
      <c r="O158" s="209"/>
      <c r="P158" s="155"/>
      <c r="Q158" s="155" t="n">
        <f aca="false">R158+S158</f>
        <v>0</v>
      </c>
      <c r="R158" s="155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54"/>
      <c r="B159" s="55" t="s">
        <v>200</v>
      </c>
      <c r="C159" s="220"/>
      <c r="D159" s="56"/>
      <c r="E159" s="56"/>
      <c r="F159" s="36"/>
      <c r="G159" s="158" t="s">
        <v>22</v>
      </c>
      <c r="H159" s="159" t="n">
        <v>19</v>
      </c>
      <c r="I159" s="160" t="n">
        <v>17</v>
      </c>
      <c r="J159" s="160" t="n">
        <v>17</v>
      </c>
      <c r="K159" s="161" t="n">
        <v>14194.33</v>
      </c>
      <c r="L159" s="161" t="n">
        <f aca="false">M159+N159</f>
        <v>0</v>
      </c>
      <c r="M159" s="161"/>
      <c r="N159" s="190"/>
      <c r="O159" s="163"/>
      <c r="P159" s="161"/>
      <c r="Q159" s="161" t="n">
        <f aca="false">R159+S159</f>
        <v>0</v>
      </c>
      <c r="R159" s="161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152" t="s">
        <v>26</v>
      </c>
      <c r="H160" s="174" t="n">
        <v>4</v>
      </c>
      <c r="I160" s="154" t="n">
        <v>3</v>
      </c>
      <c r="J160" s="154" t="n">
        <v>3</v>
      </c>
      <c r="K160" s="155" t="n">
        <v>4757.4</v>
      </c>
      <c r="L160" s="155" t="n">
        <f aca="false">M160+N160</f>
        <v>0</v>
      </c>
      <c r="M160" s="155"/>
      <c r="N160" s="156"/>
      <c r="O160" s="157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115</v>
      </c>
      <c r="C161" s="56" t="s">
        <v>20</v>
      </c>
      <c r="D161" s="56"/>
      <c r="E161" s="56" t="s">
        <v>116</v>
      </c>
      <c r="F161" s="36"/>
      <c r="G161" s="158" t="s">
        <v>22</v>
      </c>
      <c r="H161" s="159" t="n">
        <v>10</v>
      </c>
      <c r="I161" s="160" t="n">
        <v>6</v>
      </c>
      <c r="J161" s="160" t="n">
        <v>7</v>
      </c>
      <c r="K161" s="161" t="n">
        <v>5806.68</v>
      </c>
      <c r="L161" s="161" t="n">
        <f aca="false">M161+N161</f>
        <v>2886.16</v>
      </c>
      <c r="M161" s="161" t="n">
        <v>264.3</v>
      </c>
      <c r="N161" s="190" t="n">
        <v>2621.86</v>
      </c>
      <c r="O161" s="163" t="n">
        <v>12</v>
      </c>
      <c r="P161" s="161" t="n">
        <v>9385.29</v>
      </c>
      <c r="Q161" s="161" t="n">
        <f aca="false">R161+S161</f>
        <v>6775.76</v>
      </c>
      <c r="R161" s="161" t="n">
        <v>4414.68</v>
      </c>
      <c r="S161" s="190" t="n">
        <v>2361.08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42" t="s">
        <v>201</v>
      </c>
      <c r="G162" s="164" t="s">
        <v>26</v>
      </c>
      <c r="H162" s="172" t="n">
        <v>8</v>
      </c>
      <c r="I162" s="165" t="n">
        <v>2</v>
      </c>
      <c r="J162" s="165" t="n">
        <v>2</v>
      </c>
      <c r="K162" s="166" t="n">
        <v>5990.8</v>
      </c>
      <c r="L162" s="161" t="n">
        <f aca="false">M162+N162</f>
        <v>0</v>
      </c>
      <c r="M162" s="166"/>
      <c r="N162" s="156"/>
      <c r="O162" s="168" t="n">
        <v>8</v>
      </c>
      <c r="P162" s="166" t="n">
        <v>881</v>
      </c>
      <c r="Q162" s="166" t="n">
        <f aca="false">R162+S162</f>
        <v>7048</v>
      </c>
      <c r="R162" s="166" t="n">
        <f aca="false">881</f>
        <v>881</v>
      </c>
      <c r="S162" s="156" t="n">
        <v>6167</v>
      </c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true" outlineLevel="0" collapsed="false">
      <c r="A163" s="17"/>
      <c r="B163" s="18" t="s">
        <v>157</v>
      </c>
      <c r="C163" s="19"/>
      <c r="D163" s="19"/>
      <c r="E163" s="127"/>
      <c r="F163" s="22"/>
      <c r="G163" s="146" t="s">
        <v>22</v>
      </c>
      <c r="H163" s="147" t="n">
        <v>3</v>
      </c>
      <c r="I163" s="148" t="n">
        <v>1</v>
      </c>
      <c r="J163" s="148" t="n">
        <v>1</v>
      </c>
      <c r="K163" s="149" t="n">
        <v>3876.4</v>
      </c>
      <c r="L163" s="149" t="n">
        <f aca="false">M163+N163</f>
        <v>0</v>
      </c>
      <c r="M163" s="149"/>
      <c r="N163" s="190"/>
      <c r="O163" s="151"/>
      <c r="P163" s="149"/>
      <c r="Q163" s="149" t="n">
        <f aca="false">R163+S163</f>
        <v>0</v>
      </c>
      <c r="R163" s="149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" hidden="false" customHeight="false" outlineLevel="0" collapsed="false">
      <c r="A164" s="17"/>
      <c r="B164" s="18"/>
      <c r="C164" s="18"/>
      <c r="D164" s="18"/>
      <c r="E164" s="127"/>
      <c r="F164" s="26" t="s">
        <v>202</v>
      </c>
      <c r="G164" s="152" t="s">
        <v>26</v>
      </c>
      <c r="H164" s="176" t="n">
        <v>1</v>
      </c>
      <c r="I164" s="154"/>
      <c r="J164" s="154"/>
      <c r="K164" s="155"/>
      <c r="L164" s="155" t="n">
        <f aca="false">M164+N164</f>
        <v>0</v>
      </c>
      <c r="M164" s="155"/>
      <c r="N164" s="156"/>
      <c r="O164" s="157"/>
      <c r="P164" s="155"/>
      <c r="Q164" s="155" t="n">
        <f aca="false">R164+S164</f>
        <v>1762</v>
      </c>
      <c r="R164" s="155"/>
      <c r="S164" s="156" t="n">
        <v>1762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33"/>
      <c r="B165" s="34" t="s">
        <v>117</v>
      </c>
      <c r="C165" s="35" t="s">
        <v>33</v>
      </c>
      <c r="D165" s="35" t="s">
        <v>118</v>
      </c>
      <c r="E165" s="74" t="s">
        <v>25</v>
      </c>
      <c r="F165" s="89"/>
      <c r="G165" s="158" t="s">
        <v>22</v>
      </c>
      <c r="H165" s="169"/>
      <c r="I165" s="160"/>
      <c r="J165" s="160"/>
      <c r="K165" s="161"/>
      <c r="L165" s="161" t="n">
        <f aca="false">M165+N165</f>
        <v>0</v>
      </c>
      <c r="M165" s="161"/>
      <c r="N165" s="190"/>
      <c r="O165" s="163"/>
      <c r="P165" s="161"/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33"/>
      <c r="B166" s="34"/>
      <c r="C166" s="34"/>
      <c r="D166" s="34"/>
      <c r="E166" s="34"/>
      <c r="F166" s="42"/>
      <c r="G166" s="158" t="s">
        <v>23</v>
      </c>
      <c r="H166" s="169"/>
      <c r="I166" s="160"/>
      <c r="J166" s="160"/>
      <c r="K166" s="161"/>
      <c r="L166" s="161" t="n">
        <f aca="false">M166+N166</f>
        <v>0</v>
      </c>
      <c r="M166" s="161"/>
      <c r="N166" s="167"/>
      <c r="O166" s="163"/>
      <c r="P166" s="161"/>
      <c r="Q166" s="161" t="n">
        <f aca="false">R166+S166</f>
        <v>0</v>
      </c>
      <c r="R166" s="161"/>
      <c r="S166" s="167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false" outlineLevel="0" collapsed="false">
      <c r="A167" s="33"/>
      <c r="B167" s="34"/>
      <c r="C167" s="34"/>
      <c r="D167" s="34"/>
      <c r="E167" s="34"/>
      <c r="F167" s="42"/>
      <c r="G167" s="164" t="s">
        <v>26</v>
      </c>
      <c r="H167" s="153"/>
      <c r="I167" s="165"/>
      <c r="J167" s="165"/>
      <c r="K167" s="166"/>
      <c r="L167" s="166" t="n">
        <f aca="false">M167+N167</f>
        <v>0</v>
      </c>
      <c r="M167" s="166"/>
      <c r="N167" s="156"/>
      <c r="O167" s="168" t="n">
        <v>5</v>
      </c>
      <c r="P167" s="166" t="n">
        <v>4845.5</v>
      </c>
      <c r="Q167" s="166" t="n">
        <f aca="false">R167+S167</f>
        <v>1762</v>
      </c>
      <c r="R167" s="166"/>
      <c r="S167" s="156" t="n">
        <v>1762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true" outlineLevel="0" collapsed="false">
      <c r="A168" s="17"/>
      <c r="B168" s="18" t="s">
        <v>119</v>
      </c>
      <c r="C168" s="19" t="s">
        <v>20</v>
      </c>
      <c r="D168" s="19"/>
      <c r="E168" s="19" t="s">
        <v>25</v>
      </c>
      <c r="F168" s="20"/>
      <c r="G168" s="146" t="s">
        <v>22</v>
      </c>
      <c r="H168" s="169"/>
      <c r="I168" s="148"/>
      <c r="J168" s="148"/>
      <c r="K168" s="149"/>
      <c r="L168" s="149" t="n">
        <f aca="false">M168+N168</f>
        <v>0</v>
      </c>
      <c r="M168" s="149"/>
      <c r="N168" s="190"/>
      <c r="O168" s="151" t="n">
        <v>2</v>
      </c>
      <c r="P168" s="149" t="n">
        <v>2643</v>
      </c>
      <c r="Q168" s="149" t="n">
        <f aca="false">R168+S168</f>
        <v>2643</v>
      </c>
      <c r="R168" s="149"/>
      <c r="S168" s="190" t="n">
        <v>2643</v>
      </c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/>
      <c r="C169" s="18"/>
      <c r="D169" s="18"/>
      <c r="E169" s="18"/>
      <c r="F169" s="42" t="s">
        <v>203</v>
      </c>
      <c r="G169" s="164" t="s">
        <v>26</v>
      </c>
      <c r="H169" s="175" t="n">
        <v>4</v>
      </c>
      <c r="I169" s="165" t="n">
        <v>1</v>
      </c>
      <c r="J169" s="165" t="n">
        <v>1</v>
      </c>
      <c r="K169" s="166" t="n">
        <v>704.8</v>
      </c>
      <c r="L169" s="166" t="n">
        <f aca="false">M169+N169</f>
        <v>704.8</v>
      </c>
      <c r="M169" s="166" t="n">
        <v>0</v>
      </c>
      <c r="N169" s="156" t="n">
        <v>704.8</v>
      </c>
      <c r="O169" s="168" t="n">
        <v>1</v>
      </c>
      <c r="P169" s="166" t="n">
        <v>3524</v>
      </c>
      <c r="Q169" s="166" t="n">
        <f aca="false">R169+S169</f>
        <v>881</v>
      </c>
      <c r="R169" s="166" t="n">
        <f aca="false">881</f>
        <v>881</v>
      </c>
      <c r="S169" s="156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225</v>
      </c>
      <c r="C170" s="19"/>
      <c r="D170" s="19"/>
      <c r="E170" s="19"/>
      <c r="F170" s="20"/>
      <c r="G170" s="146" t="s">
        <v>22</v>
      </c>
      <c r="H170" s="147"/>
      <c r="I170" s="148"/>
      <c r="J170" s="148"/>
      <c r="K170" s="149"/>
      <c r="L170" s="149" t="n">
        <f aca="false">M170+N170</f>
        <v>0</v>
      </c>
      <c r="M170" s="149"/>
      <c r="N170" s="190"/>
      <c r="O170" s="151"/>
      <c r="P170" s="149"/>
      <c r="Q170" s="149" t="n">
        <f aca="false">R170+S170</f>
        <v>0</v>
      </c>
      <c r="R170" s="149"/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false" outlineLevel="0" collapsed="false">
      <c r="A171" s="17"/>
      <c r="B171" s="18"/>
      <c r="C171" s="18"/>
      <c r="D171" s="18"/>
      <c r="E171" s="18"/>
      <c r="F171" s="26" t="s">
        <v>244</v>
      </c>
      <c r="G171" s="152" t="s">
        <v>23</v>
      </c>
      <c r="H171" s="176" t="n">
        <v>13</v>
      </c>
      <c r="I171" s="154"/>
      <c r="J171" s="154"/>
      <c r="K171" s="155"/>
      <c r="L171" s="155" t="n">
        <f aca="false">M171+N171</f>
        <v>0</v>
      </c>
      <c r="M171" s="155"/>
      <c r="N171" s="156"/>
      <c r="O171" s="157"/>
      <c r="P171" s="155"/>
      <c r="Q171" s="155" t="n">
        <f aca="false">R171+S171</f>
        <v>0</v>
      </c>
      <c r="R171" s="155"/>
      <c r="S171" s="156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54"/>
      <c r="B172" s="55" t="s">
        <v>120</v>
      </c>
      <c r="C172" s="56" t="s">
        <v>20</v>
      </c>
      <c r="D172" s="56"/>
      <c r="E172" s="56" t="s">
        <v>25</v>
      </c>
      <c r="F172" s="36"/>
      <c r="G172" s="158" t="s">
        <v>22</v>
      </c>
      <c r="H172" s="169"/>
      <c r="I172" s="160"/>
      <c r="J172" s="160"/>
      <c r="K172" s="161"/>
      <c r="L172" s="161" t="n">
        <f aca="false">M172+N172</f>
        <v>0</v>
      </c>
      <c r="M172" s="161"/>
      <c r="N172" s="190"/>
      <c r="O172" s="163" t="n">
        <v>3</v>
      </c>
      <c r="P172" s="161" t="n">
        <v>3063.78</v>
      </c>
      <c r="Q172" s="161" t="n">
        <f aca="false">R172+S172</f>
        <v>3063.78</v>
      </c>
      <c r="R172" s="161" t="n">
        <v>3063.78</v>
      </c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/>
      <c r="C173" s="55"/>
      <c r="D173" s="55"/>
      <c r="E173" s="55"/>
      <c r="F173" s="71"/>
      <c r="G173" s="164" t="s">
        <v>26</v>
      </c>
      <c r="H173" s="175"/>
      <c r="I173" s="165"/>
      <c r="J173" s="165"/>
      <c r="K173" s="166"/>
      <c r="L173" s="166" t="n">
        <f aca="false">M173+N173</f>
        <v>0</v>
      </c>
      <c r="M173" s="166"/>
      <c r="N173" s="156"/>
      <c r="O173" s="168"/>
      <c r="P173" s="166"/>
      <c r="Q173" s="166" t="n">
        <f aca="false">R173+S173</f>
        <v>0</v>
      </c>
      <c r="R173" s="166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72"/>
      <c r="B174" s="18" t="s">
        <v>158</v>
      </c>
      <c r="C174" s="74"/>
      <c r="D174" s="56" t="s">
        <v>204</v>
      </c>
      <c r="E174" s="74"/>
      <c r="F174" s="53"/>
      <c r="G174" s="146" t="s">
        <v>22</v>
      </c>
      <c r="H174" s="195"/>
      <c r="I174" s="196"/>
      <c r="J174" s="196"/>
      <c r="K174" s="197"/>
      <c r="L174" s="197" t="n">
        <f aca="false">M174+N174</f>
        <v>0</v>
      </c>
      <c r="M174" s="197"/>
      <c r="N174" s="190"/>
      <c r="O174" s="199"/>
      <c r="P174" s="197"/>
      <c r="Q174" s="197" t="n">
        <f aca="false">R174+S174</f>
        <v>0</v>
      </c>
      <c r="R174" s="197"/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false" outlineLevel="0" collapsed="false">
      <c r="A175" s="54"/>
      <c r="B175" s="18"/>
      <c r="C175" s="56"/>
      <c r="D175" s="56"/>
      <c r="E175" s="56"/>
      <c r="F175" s="138" t="s">
        <v>205</v>
      </c>
      <c r="G175" s="152" t="s">
        <v>26</v>
      </c>
      <c r="H175" s="153" t="n">
        <v>3</v>
      </c>
      <c r="I175" s="200"/>
      <c r="J175" s="200"/>
      <c r="K175" s="201"/>
      <c r="L175" s="201" t="n">
        <f aca="false">M175+N175</f>
        <v>0</v>
      </c>
      <c r="M175" s="201"/>
      <c r="N175" s="156"/>
      <c r="O175" s="203"/>
      <c r="P175" s="201"/>
      <c r="Q175" s="201" t="n">
        <f aca="false">R175+S175</f>
        <v>0</v>
      </c>
      <c r="R175" s="201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33"/>
      <c r="B176" s="34" t="s">
        <v>152</v>
      </c>
      <c r="C176" s="35" t="s">
        <v>20</v>
      </c>
      <c r="D176" s="35"/>
      <c r="E176" s="35" t="s">
        <v>25</v>
      </c>
      <c r="F176" s="36"/>
      <c r="G176" s="158" t="s">
        <v>22</v>
      </c>
      <c r="H176" s="169"/>
      <c r="I176" s="160"/>
      <c r="J176" s="160"/>
      <c r="K176" s="161"/>
      <c r="L176" s="161" t="n">
        <f aca="false">M176+N176</f>
        <v>0</v>
      </c>
      <c r="M176" s="161"/>
      <c r="N176" s="190"/>
      <c r="O176" s="163" t="n">
        <v>4</v>
      </c>
      <c r="P176" s="161" t="n">
        <v>7400.4</v>
      </c>
      <c r="Q176" s="161" t="n">
        <f aca="false">R176+S176</f>
        <v>2819.2</v>
      </c>
      <c r="R176" s="161"/>
      <c r="S176" s="190" t="n">
        <v>2819.2</v>
      </c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33"/>
      <c r="B177" s="34"/>
      <c r="C177" s="34"/>
      <c r="D177" s="34"/>
      <c r="E177" s="34"/>
      <c r="F177" s="42" t="s">
        <v>206</v>
      </c>
      <c r="G177" s="164" t="s">
        <v>26</v>
      </c>
      <c r="H177" s="171" t="n">
        <v>4</v>
      </c>
      <c r="I177" s="165"/>
      <c r="J177" s="165"/>
      <c r="K177" s="166"/>
      <c r="L177" s="166" t="n">
        <v>0</v>
      </c>
      <c r="M177" s="166" t="n">
        <v>0</v>
      </c>
      <c r="N177" s="156"/>
      <c r="O177" s="168" t="n">
        <v>3</v>
      </c>
      <c r="P177" s="166" t="n">
        <v>5814.6</v>
      </c>
      <c r="Q177" s="161" t="n">
        <f aca="false">R177+S177</f>
        <v>6959.9</v>
      </c>
      <c r="R177" s="166" t="n">
        <f aca="false">1145.3</f>
        <v>1145.3</v>
      </c>
      <c r="S177" s="156" t="n">
        <v>5814.6</v>
      </c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17"/>
      <c r="B178" s="18" t="s">
        <v>122</v>
      </c>
      <c r="C178" s="19" t="s">
        <v>20</v>
      </c>
      <c r="D178" s="19"/>
      <c r="E178" s="19" t="s">
        <v>116</v>
      </c>
      <c r="F178" s="20"/>
      <c r="G178" s="146" t="s">
        <v>22</v>
      </c>
      <c r="H178" s="159" t="n">
        <v>22</v>
      </c>
      <c r="I178" s="148" t="n">
        <v>17</v>
      </c>
      <c r="J178" s="148" t="n">
        <v>19</v>
      </c>
      <c r="K178" s="149" t="n">
        <v>28868.62</v>
      </c>
      <c r="L178" s="149" t="n">
        <f aca="false">M178+N178</f>
        <v>11563.14</v>
      </c>
      <c r="M178" s="149" t="n">
        <v>11563.14</v>
      </c>
      <c r="N178" s="190"/>
      <c r="O178" s="151" t="n">
        <v>24</v>
      </c>
      <c r="P178" s="149" t="n">
        <v>61568.09</v>
      </c>
      <c r="Q178" s="149" t="n">
        <f aca="false">R178+S178</f>
        <v>38935.35</v>
      </c>
      <c r="R178" s="149" t="n">
        <v>38935.35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17"/>
      <c r="B179" s="18"/>
      <c r="C179" s="18"/>
      <c r="D179" s="18"/>
      <c r="E179" s="18"/>
      <c r="F179" s="57"/>
      <c r="G179" s="152" t="s">
        <v>26</v>
      </c>
      <c r="H179" s="153"/>
      <c r="I179" s="154"/>
      <c r="J179" s="154"/>
      <c r="K179" s="155"/>
      <c r="L179" s="155" t="n">
        <f aca="false">M179+N179</f>
        <v>0</v>
      </c>
      <c r="M179" s="155"/>
      <c r="N179" s="156"/>
      <c r="O179" s="157"/>
      <c r="P179" s="155"/>
      <c r="Q179" s="155" t="n">
        <f aca="false">R179+S179</f>
        <v>0</v>
      </c>
      <c r="R179" s="155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.75" hidden="false" customHeight="true" outlineLevel="0" collapsed="false">
      <c r="A180" s="33"/>
      <c r="B180" s="34" t="s">
        <v>123</v>
      </c>
      <c r="C180" s="35" t="s">
        <v>20</v>
      </c>
      <c r="D180" s="35"/>
      <c r="E180" s="35" t="s">
        <v>25</v>
      </c>
      <c r="F180" s="36"/>
      <c r="G180" s="146" t="s">
        <v>22</v>
      </c>
      <c r="H180" s="159" t="n">
        <v>3</v>
      </c>
      <c r="I180" s="160" t="n">
        <v>3</v>
      </c>
      <c r="J180" s="160" t="n">
        <v>3</v>
      </c>
      <c r="K180" s="161" t="n">
        <v>2255.36</v>
      </c>
      <c r="L180" s="161" t="n">
        <f aca="false">M180+N180</f>
        <v>881</v>
      </c>
      <c r="M180" s="161" t="n">
        <v>881</v>
      </c>
      <c r="N180" s="190"/>
      <c r="O180" s="163" t="n">
        <v>6</v>
      </c>
      <c r="P180" s="161" t="n">
        <v>10868.41</v>
      </c>
      <c r="Q180" s="161" t="n">
        <f aca="false">R180+S180</f>
        <v>10269.33</v>
      </c>
      <c r="R180" s="161" t="n">
        <v>6930.62</v>
      </c>
      <c r="S180" s="190" t="n">
        <v>3338.71</v>
      </c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33"/>
      <c r="B181" s="34"/>
      <c r="C181" s="34"/>
      <c r="D181" s="34"/>
      <c r="E181" s="34"/>
      <c r="F181" s="42" t="s">
        <v>207</v>
      </c>
      <c r="G181" s="164" t="s">
        <v>26</v>
      </c>
      <c r="H181" s="153" t="n">
        <v>1</v>
      </c>
      <c r="I181" s="165"/>
      <c r="J181" s="165"/>
      <c r="K181" s="166"/>
      <c r="L181" s="161" t="n">
        <f aca="false">M181+N181</f>
        <v>0</v>
      </c>
      <c r="M181" s="166" t="n">
        <v>0</v>
      </c>
      <c r="N181" s="156"/>
      <c r="O181" s="168" t="n">
        <v>1</v>
      </c>
      <c r="P181" s="166"/>
      <c r="Q181" s="166" t="n">
        <f aca="false">R181+S181</f>
        <v>881</v>
      </c>
      <c r="R181" s="166" t="n">
        <f aca="false">881</f>
        <v>881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17"/>
      <c r="B182" s="18" t="s">
        <v>124</v>
      </c>
      <c r="C182" s="19" t="s">
        <v>20</v>
      </c>
      <c r="D182" s="19"/>
      <c r="E182" s="19" t="s">
        <v>88</v>
      </c>
      <c r="F182" s="20"/>
      <c r="G182" s="146" t="s">
        <v>22</v>
      </c>
      <c r="H182" s="159" t="n">
        <v>6</v>
      </c>
      <c r="I182" s="148" t="n">
        <v>2</v>
      </c>
      <c r="J182" s="148" t="n">
        <v>2</v>
      </c>
      <c r="K182" s="149" t="n">
        <v>5272.09</v>
      </c>
      <c r="L182" s="149" t="n">
        <f aca="false">M182+N182</f>
        <v>0</v>
      </c>
      <c r="M182" s="149"/>
      <c r="N182" s="190"/>
      <c r="O182" s="151" t="n">
        <v>6</v>
      </c>
      <c r="P182" s="149" t="n">
        <v>16237.42</v>
      </c>
      <c r="Q182" s="149" t="n">
        <f aca="false">R182+S182</f>
        <v>14475.42</v>
      </c>
      <c r="R182" s="149" t="n">
        <v>14475.42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245</v>
      </c>
      <c r="G183" s="164" t="s">
        <v>23</v>
      </c>
      <c r="H183" s="172" t="n">
        <v>7</v>
      </c>
      <c r="I183" s="165"/>
      <c r="J183" s="165"/>
      <c r="K183" s="166"/>
      <c r="L183" s="166" t="n">
        <v>0</v>
      </c>
      <c r="M183" s="166"/>
      <c r="N183" s="156"/>
      <c r="O183" s="168" t="n">
        <v>2</v>
      </c>
      <c r="P183" s="166" t="n">
        <v>3976.4</v>
      </c>
      <c r="Q183" s="166" t="n">
        <v>3976.4</v>
      </c>
      <c r="R183" s="166" t="n">
        <v>3976.4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208</v>
      </c>
      <c r="C184" s="19"/>
      <c r="D184" s="19"/>
      <c r="E184" s="127"/>
      <c r="F184" s="20"/>
      <c r="G184" s="146" t="s">
        <v>22</v>
      </c>
      <c r="H184" s="173" t="n">
        <v>15</v>
      </c>
      <c r="I184" s="148" t="n">
        <v>3</v>
      </c>
      <c r="J184" s="148" t="n">
        <v>3</v>
      </c>
      <c r="K184" s="149" t="n">
        <v>3728.39</v>
      </c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28"/>
      <c r="F185" s="26" t="s">
        <v>246</v>
      </c>
      <c r="G185" s="152" t="s">
        <v>23</v>
      </c>
      <c r="H185" s="174" t="n">
        <v>6</v>
      </c>
      <c r="I185" s="154"/>
      <c r="J185" s="154"/>
      <c r="K185" s="155"/>
      <c r="L185" s="155" t="n">
        <f aca="false">M185+N185</f>
        <v>0</v>
      </c>
      <c r="M185" s="155"/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125</v>
      </c>
      <c r="C186" s="35" t="s">
        <v>33</v>
      </c>
      <c r="D186" s="35" t="s">
        <v>126</v>
      </c>
      <c r="E186" s="35" t="s">
        <v>127</v>
      </c>
      <c r="F186" s="36"/>
      <c r="G186" s="158" t="s">
        <v>22</v>
      </c>
      <c r="H186" s="159" t="n">
        <v>8</v>
      </c>
      <c r="I186" s="160" t="n">
        <v>3</v>
      </c>
      <c r="J186" s="160" t="n">
        <v>4</v>
      </c>
      <c r="K186" s="161" t="n">
        <v>5845.96</v>
      </c>
      <c r="L186" s="161" t="n">
        <f aca="false">M186+N186</f>
        <v>2128.14</v>
      </c>
      <c r="M186" s="161"/>
      <c r="N186" s="190" t="n">
        <v>2128.14</v>
      </c>
      <c r="O186" s="163" t="n">
        <v>12</v>
      </c>
      <c r="P186" s="161" t="n">
        <v>24224.96</v>
      </c>
      <c r="Q186" s="161" t="n">
        <f aca="false">R186+S186</f>
        <v>15275.34</v>
      </c>
      <c r="R186" s="161" t="n">
        <v>11500.86</v>
      </c>
      <c r="S186" s="190" t="n">
        <v>3774.48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/>
      <c r="G187" s="164" t="s">
        <v>23</v>
      </c>
      <c r="H187" s="171" t="n">
        <v>30</v>
      </c>
      <c r="I187" s="165" t="n">
        <v>4</v>
      </c>
      <c r="J187" s="165" t="n">
        <v>4</v>
      </c>
      <c r="K187" s="166" t="n">
        <v>8457.6</v>
      </c>
      <c r="L187" s="166" t="n">
        <v>2995.4</v>
      </c>
      <c r="M187" s="166" t="n">
        <v>2995.4</v>
      </c>
      <c r="N187" s="156"/>
      <c r="O187" s="168" t="n">
        <v>13</v>
      </c>
      <c r="P187" s="166" t="n">
        <v>34485.64</v>
      </c>
      <c r="Q187" s="166" t="n">
        <v>4581.2</v>
      </c>
      <c r="R187" s="166" t="n">
        <v>4581.2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17"/>
      <c r="B188" s="18" t="s">
        <v>128</v>
      </c>
      <c r="C188" s="19" t="s">
        <v>20</v>
      </c>
      <c r="D188" s="19"/>
      <c r="E188" s="19" t="s">
        <v>25</v>
      </c>
      <c r="F188" s="20"/>
      <c r="G188" s="146" t="s">
        <v>22</v>
      </c>
      <c r="H188" s="159" t="n">
        <v>15</v>
      </c>
      <c r="I188" s="148" t="n">
        <v>10</v>
      </c>
      <c r="J188" s="148" t="n">
        <v>10</v>
      </c>
      <c r="K188" s="149" t="n">
        <v>10868.49</v>
      </c>
      <c r="L188" s="149" t="n">
        <f aca="false">M188+N188</f>
        <v>5465.9</v>
      </c>
      <c r="M188" s="149" t="n">
        <v>1708.7</v>
      </c>
      <c r="N188" s="190" t="n">
        <v>3757.2</v>
      </c>
      <c r="O188" s="151" t="n">
        <v>22</v>
      </c>
      <c r="P188" s="149" t="n">
        <v>41633.72</v>
      </c>
      <c r="Q188" s="149" t="n">
        <f aca="false">R188+S188</f>
        <v>7845.45</v>
      </c>
      <c r="R188" s="149" t="n">
        <v>5312.27</v>
      </c>
      <c r="S188" s="190" t="n">
        <v>2533.18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71"/>
      <c r="G189" s="164" t="s">
        <v>26</v>
      </c>
      <c r="H189" s="175"/>
      <c r="I189" s="165"/>
      <c r="J189" s="165"/>
      <c r="K189" s="166"/>
      <c r="L189" s="166" t="n">
        <f aca="false">M189+N189</f>
        <v>0</v>
      </c>
      <c r="M189" s="166"/>
      <c r="N189" s="156"/>
      <c r="O189" s="168"/>
      <c r="P189" s="166"/>
      <c r="Q189" s="166" t="n">
        <f aca="false">R189+S189</f>
        <v>0</v>
      </c>
      <c r="R189" s="166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227</v>
      </c>
      <c r="C190" s="19"/>
      <c r="D190" s="19"/>
      <c r="E190" s="19"/>
      <c r="F190" s="20"/>
      <c r="G190" s="204" t="s">
        <v>22</v>
      </c>
      <c r="H190" s="173" t="n">
        <v>2</v>
      </c>
      <c r="I190" s="148"/>
      <c r="J190" s="148"/>
      <c r="K190" s="149"/>
      <c r="L190" s="149" t="n">
        <f aca="false">M190+N190</f>
        <v>0</v>
      </c>
      <c r="M190" s="149"/>
      <c r="N190" s="190"/>
      <c r="O190" s="206"/>
      <c r="P190" s="149"/>
      <c r="Q190" s="149" t="n">
        <f aca="false">R190+S190</f>
        <v>0</v>
      </c>
      <c r="R190" s="149"/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207" t="s">
        <v>26</v>
      </c>
      <c r="H191" s="174"/>
      <c r="I191" s="154"/>
      <c r="J191" s="154"/>
      <c r="K191" s="155"/>
      <c r="L191" s="155" t="n">
        <f aca="false">M191+N191</f>
        <v>0</v>
      </c>
      <c r="M191" s="155"/>
      <c r="N191" s="156"/>
      <c r="O191" s="209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129</v>
      </c>
      <c r="C192" s="35" t="s">
        <v>38</v>
      </c>
      <c r="D192" s="35" t="s">
        <v>130</v>
      </c>
      <c r="E192" s="35" t="s">
        <v>25</v>
      </c>
      <c r="F192" s="36"/>
      <c r="G192" s="158" t="s">
        <v>22</v>
      </c>
      <c r="H192" s="159" t="n">
        <v>9</v>
      </c>
      <c r="I192" s="160" t="n">
        <v>5</v>
      </c>
      <c r="J192" s="160" t="n">
        <v>5</v>
      </c>
      <c r="K192" s="161" t="n">
        <v>3147.73</v>
      </c>
      <c r="L192" s="161" t="n">
        <f aca="false">M192+N192</f>
        <v>3147.73</v>
      </c>
      <c r="M192" s="161"/>
      <c r="N192" s="190" t="n">
        <v>3147.73</v>
      </c>
      <c r="O192" s="163" t="n">
        <v>3</v>
      </c>
      <c r="P192" s="161" t="n">
        <v>55205.85</v>
      </c>
      <c r="Q192" s="161" t="n">
        <f aca="false">R192+S192</f>
        <v>44463.45</v>
      </c>
      <c r="R192" s="161"/>
      <c r="S192" s="190" t="n">
        <v>44463.45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209</v>
      </c>
      <c r="G193" s="164" t="s">
        <v>26</v>
      </c>
      <c r="H193" s="153" t="n">
        <v>3</v>
      </c>
      <c r="I193" s="165"/>
      <c r="J193" s="165"/>
      <c r="K193" s="166"/>
      <c r="L193" s="161" t="n">
        <f aca="false">M193+N193</f>
        <v>0</v>
      </c>
      <c r="M193" s="166" t="n">
        <v>0</v>
      </c>
      <c r="N193" s="156"/>
      <c r="O193" s="168" t="n">
        <v>7</v>
      </c>
      <c r="P193" s="166" t="n">
        <v>20590.6</v>
      </c>
      <c r="Q193" s="166" t="n">
        <f aca="false">R193+S193</f>
        <v>16374.2</v>
      </c>
      <c r="R193" s="166" t="n">
        <f aca="false">881+881</f>
        <v>1762</v>
      </c>
      <c r="S193" s="167" t="n">
        <v>14612.2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6.5" hidden="false" customHeight="true" outlineLevel="0" collapsed="false">
      <c r="A194" s="17"/>
      <c r="B194" s="18" t="s">
        <v>131</v>
      </c>
      <c r="C194" s="19" t="s">
        <v>38</v>
      </c>
      <c r="D194" s="19" t="s">
        <v>130</v>
      </c>
      <c r="E194" s="19" t="s">
        <v>25</v>
      </c>
      <c r="F194" s="20"/>
      <c r="G194" s="146" t="s">
        <v>22</v>
      </c>
      <c r="H194" s="159" t="n">
        <v>8</v>
      </c>
      <c r="I194" s="148" t="n">
        <v>7</v>
      </c>
      <c r="J194" s="148" t="n">
        <v>10</v>
      </c>
      <c r="K194" s="149" t="n">
        <v>24674.6</v>
      </c>
      <c r="L194" s="149" t="n">
        <f aca="false">M194+N194</f>
        <v>13633.47</v>
      </c>
      <c r="M194" s="149" t="n">
        <v>5349.43</v>
      </c>
      <c r="N194" s="190" t="n">
        <v>8284.04</v>
      </c>
      <c r="O194" s="151" t="n">
        <v>14</v>
      </c>
      <c r="P194" s="149" t="n">
        <v>65810.62</v>
      </c>
      <c r="Q194" s="149" t="n">
        <f aca="false">R194+S194</f>
        <v>55278.65</v>
      </c>
      <c r="R194" s="149" t="n">
        <v>1920.58</v>
      </c>
      <c r="S194" s="198" t="n">
        <v>53358.07</v>
      </c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6.5" hidden="false" customHeight="true" outlineLevel="0" collapsed="false">
      <c r="A195" s="17"/>
      <c r="B195" s="18"/>
      <c r="C195" s="18"/>
      <c r="D195" s="18"/>
      <c r="E195" s="18"/>
      <c r="F195" s="26" t="s">
        <v>210</v>
      </c>
      <c r="G195" s="152" t="s">
        <v>26</v>
      </c>
      <c r="H195" s="153" t="n">
        <v>2</v>
      </c>
      <c r="I195" s="154" t="n">
        <v>2</v>
      </c>
      <c r="J195" s="154" t="n">
        <v>2</v>
      </c>
      <c r="K195" s="155" t="n">
        <v>1585.8</v>
      </c>
      <c r="L195" s="155" t="n">
        <f aca="false">M195+N195</f>
        <v>1585.8</v>
      </c>
      <c r="M195" s="155"/>
      <c r="N195" s="156" t="n">
        <v>1585.8</v>
      </c>
      <c r="O195" s="157"/>
      <c r="P195" s="155"/>
      <c r="Q195" s="155" t="n">
        <f aca="false">R195+S195</f>
        <v>0</v>
      </c>
      <c r="R195" s="155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33"/>
      <c r="B196" s="34" t="s">
        <v>132</v>
      </c>
      <c r="C196" s="35" t="s">
        <v>20</v>
      </c>
      <c r="D196" s="35"/>
      <c r="E196" s="35" t="s">
        <v>69</v>
      </c>
      <c r="F196" s="38"/>
      <c r="G196" s="146" t="s">
        <v>22</v>
      </c>
      <c r="H196" s="159" t="n">
        <v>8</v>
      </c>
      <c r="I196" s="160" t="n">
        <v>6</v>
      </c>
      <c r="J196" s="160" t="n">
        <v>8</v>
      </c>
      <c r="K196" s="161" t="n">
        <v>17601.94</v>
      </c>
      <c r="L196" s="161" t="n">
        <f aca="false">M196+N196</f>
        <v>1973.48</v>
      </c>
      <c r="M196" s="161" t="n">
        <v>1973.48</v>
      </c>
      <c r="N196" s="190"/>
      <c r="O196" s="163" t="n">
        <v>11</v>
      </c>
      <c r="P196" s="161" t="n">
        <v>34976.18</v>
      </c>
      <c r="Q196" s="161" t="n">
        <f aca="false">R196+S196</f>
        <v>28827.93</v>
      </c>
      <c r="R196" s="161" t="n">
        <v>28827.93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33"/>
      <c r="B197" s="34"/>
      <c r="C197" s="34"/>
      <c r="D197" s="34"/>
      <c r="E197" s="34"/>
      <c r="F197" s="42" t="s">
        <v>211</v>
      </c>
      <c r="G197" s="164" t="s">
        <v>26</v>
      </c>
      <c r="H197" s="153" t="n">
        <v>5</v>
      </c>
      <c r="I197" s="165"/>
      <c r="J197" s="165"/>
      <c r="K197" s="166"/>
      <c r="L197" s="166" t="n">
        <f aca="false">M197+N197</f>
        <v>0</v>
      </c>
      <c r="M197" s="166"/>
      <c r="N197" s="156"/>
      <c r="O197" s="168" t="n">
        <v>1</v>
      </c>
      <c r="P197" s="166" t="n">
        <v>3700.2</v>
      </c>
      <c r="Q197" s="166" t="n">
        <f aca="false">R197+S197</f>
        <v>0</v>
      </c>
      <c r="R197" s="166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72"/>
      <c r="B198" s="73" t="s">
        <v>133</v>
      </c>
      <c r="C198" s="74" t="s">
        <v>20</v>
      </c>
      <c r="D198" s="74"/>
      <c r="E198" s="74" t="s">
        <v>25</v>
      </c>
      <c r="F198" s="22"/>
      <c r="G198" s="146" t="s">
        <v>22</v>
      </c>
      <c r="H198" s="159" t="n">
        <v>3</v>
      </c>
      <c r="I198" s="148" t="n">
        <v>2</v>
      </c>
      <c r="J198" s="148" t="n">
        <v>2</v>
      </c>
      <c r="K198" s="149" t="n">
        <v>3312.63</v>
      </c>
      <c r="L198" s="149" t="n">
        <f aca="false">M198+N198</f>
        <v>0</v>
      </c>
      <c r="M198" s="149"/>
      <c r="N198" s="190"/>
      <c r="O198" s="151" t="n">
        <v>2</v>
      </c>
      <c r="P198" s="149" t="n">
        <v>4329.79</v>
      </c>
      <c r="Q198" s="149" t="n">
        <f aca="false">R198+S198</f>
        <v>2163.03</v>
      </c>
      <c r="R198" s="149" t="n">
        <v>2163.03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72"/>
      <c r="B199" s="73"/>
      <c r="C199" s="73"/>
      <c r="D199" s="73"/>
      <c r="E199" s="73"/>
      <c r="F199" s="42" t="s">
        <v>212</v>
      </c>
      <c r="G199" s="164" t="s">
        <v>26</v>
      </c>
      <c r="H199" s="171" t="n">
        <v>4</v>
      </c>
      <c r="I199" s="165" t="n">
        <v>1</v>
      </c>
      <c r="J199" s="165" t="n">
        <v>1</v>
      </c>
      <c r="K199" s="166" t="n">
        <v>1409.6</v>
      </c>
      <c r="L199" s="166" t="n">
        <f aca="false">M199+N199</f>
        <v>1409.6</v>
      </c>
      <c r="M199" s="166"/>
      <c r="N199" s="156" t="n">
        <v>1409.6</v>
      </c>
      <c r="O199" s="168" t="n">
        <v>1</v>
      </c>
      <c r="P199" s="166" t="n">
        <v>1321.5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134</v>
      </c>
      <c r="C200" s="74" t="s">
        <v>20</v>
      </c>
      <c r="D200" s="74"/>
      <c r="E200" s="74" t="s">
        <v>25</v>
      </c>
      <c r="F200" s="20"/>
      <c r="G200" s="146" t="s">
        <v>22</v>
      </c>
      <c r="H200" s="169"/>
      <c r="I200" s="148"/>
      <c r="J200" s="148"/>
      <c r="K200" s="149"/>
      <c r="L200" s="149" t="n">
        <f aca="false">M200+N200</f>
        <v>0</v>
      </c>
      <c r="M200" s="149"/>
      <c r="N200" s="190"/>
      <c r="O200" s="151" t="n">
        <v>1</v>
      </c>
      <c r="P200" s="149" t="n">
        <v>13019.26</v>
      </c>
      <c r="Q200" s="149" t="n">
        <f aca="false">R200+S200</f>
        <v>13019.26</v>
      </c>
      <c r="R200" s="149"/>
      <c r="S200" s="190" t="n">
        <v>13019.26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72"/>
      <c r="B201" s="73"/>
      <c r="C201" s="73"/>
      <c r="D201" s="73"/>
      <c r="E201" s="73"/>
      <c r="F201" s="42" t="s">
        <v>213</v>
      </c>
      <c r="G201" s="164" t="s">
        <v>26</v>
      </c>
      <c r="H201" s="153" t="n">
        <v>2</v>
      </c>
      <c r="I201" s="165"/>
      <c r="J201" s="165"/>
      <c r="K201" s="166"/>
      <c r="L201" s="166" t="n">
        <f aca="false">M201+N201</f>
        <v>0</v>
      </c>
      <c r="M201" s="166"/>
      <c r="N201" s="156"/>
      <c r="O201" s="168" t="n">
        <v>3</v>
      </c>
      <c r="P201" s="166" t="n">
        <v>23840.15</v>
      </c>
      <c r="Q201" s="166" t="n">
        <f aca="false">R201+S201</f>
        <v>10713.22</v>
      </c>
      <c r="R201" s="166"/>
      <c r="S201" s="156" t="n">
        <v>10713.22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135</v>
      </c>
      <c r="C202" s="19" t="s">
        <v>20</v>
      </c>
      <c r="D202" s="19"/>
      <c r="E202" s="19" t="s">
        <v>69</v>
      </c>
      <c r="F202" s="22"/>
      <c r="G202" s="146" t="s">
        <v>22</v>
      </c>
      <c r="H202" s="159" t="n">
        <v>9</v>
      </c>
      <c r="I202" s="148" t="n">
        <v>4</v>
      </c>
      <c r="J202" s="148" t="n">
        <v>4</v>
      </c>
      <c r="K202" s="149" t="n">
        <v>5030.51</v>
      </c>
      <c r="L202" s="149" t="n">
        <f aca="false">M202+N202</f>
        <v>2995.4</v>
      </c>
      <c r="M202" s="149" t="n">
        <v>2995.4</v>
      </c>
      <c r="N202" s="190"/>
      <c r="O202" s="151" t="n">
        <v>11</v>
      </c>
      <c r="P202" s="149" t="n">
        <v>20480.05</v>
      </c>
      <c r="Q202" s="149" t="n">
        <f aca="false">R202+S202</f>
        <v>14331.8</v>
      </c>
      <c r="R202" s="149" t="n">
        <v>14331.8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26" t="s">
        <v>277</v>
      </c>
      <c r="G203" s="152" t="s">
        <v>26</v>
      </c>
      <c r="H203" s="171" t="n">
        <v>3</v>
      </c>
      <c r="I203" s="154"/>
      <c r="J203" s="154"/>
      <c r="K203" s="155"/>
      <c r="L203" s="155" t="n">
        <f aca="false">M203+N203</f>
        <v>0</v>
      </c>
      <c r="M203" s="155"/>
      <c r="N203" s="156"/>
      <c r="O203" s="157" t="n">
        <v>2</v>
      </c>
      <c r="P203" s="155" t="n">
        <v>2292.9</v>
      </c>
      <c r="Q203" s="155" t="n">
        <f aca="false">R203+S203</f>
        <v>792.9</v>
      </c>
      <c r="R203" s="155"/>
      <c r="S203" s="156" t="n">
        <v>792.9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33"/>
      <c r="B204" s="34" t="s">
        <v>136</v>
      </c>
      <c r="C204" s="35" t="s">
        <v>20</v>
      </c>
      <c r="D204" s="35"/>
      <c r="E204" s="35" t="s">
        <v>98</v>
      </c>
      <c r="F204" s="36"/>
      <c r="G204" s="146" t="s">
        <v>22</v>
      </c>
      <c r="H204" s="159" t="n">
        <v>11</v>
      </c>
      <c r="I204" s="160" t="n">
        <v>9</v>
      </c>
      <c r="J204" s="160" t="n">
        <v>12</v>
      </c>
      <c r="K204" s="161" t="n">
        <v>20218.61</v>
      </c>
      <c r="L204" s="161" t="n">
        <f aca="false">M204+N204</f>
        <v>7070.9</v>
      </c>
      <c r="M204" s="161" t="n">
        <v>7070.9</v>
      </c>
      <c r="N204" s="190"/>
      <c r="O204" s="163" t="n">
        <v>9</v>
      </c>
      <c r="P204" s="161" t="n">
        <v>14877.54</v>
      </c>
      <c r="Q204" s="161" t="n">
        <f aca="false">R204+S204</f>
        <v>11139.63</v>
      </c>
      <c r="R204" s="161" t="n">
        <v>11139.63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33"/>
      <c r="B205" s="34"/>
      <c r="C205" s="34"/>
      <c r="D205" s="34"/>
      <c r="E205" s="34"/>
      <c r="F205" s="42" t="s">
        <v>247</v>
      </c>
      <c r="G205" s="164" t="s">
        <v>23</v>
      </c>
      <c r="H205" s="171" t="n">
        <v>5</v>
      </c>
      <c r="I205" s="165" t="n">
        <v>6</v>
      </c>
      <c r="J205" s="165" t="n">
        <v>6</v>
      </c>
      <c r="K205" s="166" t="n">
        <v>4581.2</v>
      </c>
      <c r="L205" s="166" t="n">
        <f aca="false">M205+N205</f>
        <v>0</v>
      </c>
      <c r="M205" s="166"/>
      <c r="N205" s="156"/>
      <c r="O205" s="168" t="n">
        <v>6</v>
      </c>
      <c r="P205" s="166" t="n">
        <v>5638.4</v>
      </c>
      <c r="Q205" s="166" t="n">
        <v>1585.8</v>
      </c>
      <c r="R205" s="166" t="n">
        <v>1585.8</v>
      </c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137</v>
      </c>
      <c r="C206" s="19" t="s">
        <v>20</v>
      </c>
      <c r="D206" s="19"/>
      <c r="E206" s="19" t="s">
        <v>25</v>
      </c>
      <c r="F206" s="20"/>
      <c r="G206" s="146" t="s">
        <v>22</v>
      </c>
      <c r="H206" s="169"/>
      <c r="I206" s="148"/>
      <c r="J206" s="148"/>
      <c r="K206" s="149"/>
      <c r="L206" s="149" t="n">
        <f aca="false">M206+N206</f>
        <v>0</v>
      </c>
      <c r="M206" s="149"/>
      <c r="N206" s="190"/>
      <c r="O206" s="151"/>
      <c r="P206" s="149"/>
      <c r="Q206" s="149" t="n">
        <f aca="false">R206+S206</f>
        <v>0</v>
      </c>
      <c r="R206" s="149"/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20.25" hidden="false" customHeight="true" outlineLevel="0" collapsed="false">
      <c r="A207" s="17"/>
      <c r="B207" s="18"/>
      <c r="C207" s="18"/>
      <c r="D207" s="18"/>
      <c r="E207" s="18"/>
      <c r="F207" s="26"/>
      <c r="G207" s="152" t="s">
        <v>26</v>
      </c>
      <c r="H207" s="153" t="n">
        <v>8</v>
      </c>
      <c r="I207" s="154"/>
      <c r="J207" s="154"/>
      <c r="K207" s="155"/>
      <c r="L207" s="155" t="n">
        <f aca="false">M207+N207</f>
        <v>0</v>
      </c>
      <c r="M207" s="155"/>
      <c r="N207" s="156"/>
      <c r="O207" s="157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54"/>
      <c r="B208" s="55" t="s">
        <v>138</v>
      </c>
      <c r="C208" s="56" t="s">
        <v>33</v>
      </c>
      <c r="D208" s="56" t="s">
        <v>139</v>
      </c>
      <c r="E208" s="56" t="s">
        <v>25</v>
      </c>
      <c r="F208" s="36"/>
      <c r="G208" s="146" t="s">
        <v>22</v>
      </c>
      <c r="H208" s="169"/>
      <c r="I208" s="160"/>
      <c r="J208" s="160"/>
      <c r="K208" s="161"/>
      <c r="L208" s="161" t="n">
        <f aca="false">M208+N208</f>
        <v>0</v>
      </c>
      <c r="M208" s="161"/>
      <c r="N208" s="190"/>
      <c r="O208" s="163"/>
      <c r="P208" s="161"/>
      <c r="Q208" s="161" t="n">
        <f aca="false">R208+S208</f>
        <v>0</v>
      </c>
      <c r="R208" s="161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54"/>
      <c r="B209" s="55"/>
      <c r="C209" s="55"/>
      <c r="D209" s="55"/>
      <c r="E209" s="55"/>
      <c r="F209" s="26" t="s">
        <v>214</v>
      </c>
      <c r="G209" s="152" t="s">
        <v>26</v>
      </c>
      <c r="H209" s="171" t="n">
        <v>5</v>
      </c>
      <c r="I209" s="154" t="n">
        <v>1</v>
      </c>
      <c r="J209" s="154" t="n">
        <v>1</v>
      </c>
      <c r="K209" s="155" t="n">
        <v>2466.8</v>
      </c>
      <c r="L209" s="155" t="n">
        <f aca="false">M209+N209</f>
        <v>2466.8</v>
      </c>
      <c r="M209" s="155"/>
      <c r="N209" s="156" t="n">
        <v>2466.8</v>
      </c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" hidden="false" customHeight="true" outlineLevel="0" collapsed="false">
      <c r="A210" s="33"/>
      <c r="B210" s="34" t="s">
        <v>140</v>
      </c>
      <c r="C210" s="35" t="s">
        <v>20</v>
      </c>
      <c r="D210" s="35"/>
      <c r="E210" s="35" t="s">
        <v>141</v>
      </c>
      <c r="F210" s="36"/>
      <c r="G210" s="146" t="s">
        <v>22</v>
      </c>
      <c r="H210" s="159" t="n">
        <v>6</v>
      </c>
      <c r="I210" s="160" t="n">
        <v>3</v>
      </c>
      <c r="J210" s="160" t="n">
        <v>3</v>
      </c>
      <c r="K210" s="161" t="n">
        <v>3881.13</v>
      </c>
      <c r="L210" s="161" t="n">
        <f aca="false">M210+N210</f>
        <v>1046.63</v>
      </c>
      <c r="M210" s="161" t="n">
        <v>1046.63</v>
      </c>
      <c r="N210" s="190"/>
      <c r="O210" s="163" t="n">
        <v>7</v>
      </c>
      <c r="P210" s="161" t="n">
        <v>20134.54</v>
      </c>
      <c r="Q210" s="161" t="n">
        <f aca="false">R210+S210</f>
        <v>8449.99</v>
      </c>
      <c r="R210" s="161" t="n">
        <v>8449.99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215</v>
      </c>
      <c r="G211" s="164" t="s">
        <v>26</v>
      </c>
      <c r="H211" s="175" t="n">
        <v>1</v>
      </c>
      <c r="I211" s="165"/>
      <c r="J211" s="165"/>
      <c r="K211" s="166"/>
      <c r="L211" s="166" t="n">
        <f aca="false">M211+N211</f>
        <v>0</v>
      </c>
      <c r="M211" s="166"/>
      <c r="N211" s="156"/>
      <c r="O211" s="168"/>
      <c r="P211" s="166"/>
      <c r="Q211" s="166" t="n">
        <f aca="false">R211+S211</f>
        <v>0</v>
      </c>
      <c r="R211" s="166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251</v>
      </c>
      <c r="C212" s="19" t="s">
        <v>20</v>
      </c>
      <c r="D212" s="19"/>
      <c r="E212" s="19" t="s">
        <v>116</v>
      </c>
      <c r="F212" s="20"/>
      <c r="G212" s="146" t="s">
        <v>22</v>
      </c>
      <c r="H212" s="173" t="n">
        <v>1</v>
      </c>
      <c r="I212" s="148"/>
      <c r="J212" s="148"/>
      <c r="K212" s="149"/>
      <c r="L212" s="149"/>
      <c r="M212" s="149"/>
      <c r="N212" s="190"/>
      <c r="O212" s="206"/>
      <c r="P212" s="149"/>
      <c r="Q212" s="149"/>
      <c r="R212" s="149"/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17"/>
      <c r="B213" s="18"/>
      <c r="C213" s="18"/>
      <c r="D213" s="18"/>
      <c r="E213" s="18"/>
      <c r="F213" s="26" t="s">
        <v>252</v>
      </c>
      <c r="G213" s="152" t="s">
        <v>26</v>
      </c>
      <c r="H213" s="174" t="n">
        <v>2</v>
      </c>
      <c r="I213" s="154"/>
      <c r="J213" s="154"/>
      <c r="K213" s="155"/>
      <c r="L213" s="155"/>
      <c r="M213" s="155"/>
      <c r="N213" s="156"/>
      <c r="O213" s="209"/>
      <c r="P213" s="155"/>
      <c r="Q213" s="155"/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142</v>
      </c>
      <c r="C214" s="56" t="s">
        <v>20</v>
      </c>
      <c r="D214" s="56"/>
      <c r="E214" s="56" t="s">
        <v>25</v>
      </c>
      <c r="F214" s="36"/>
      <c r="G214" s="158" t="s">
        <v>22</v>
      </c>
      <c r="H214" s="173" t="n">
        <v>4</v>
      </c>
      <c r="I214" s="148" t="n">
        <v>3</v>
      </c>
      <c r="J214" s="148" t="n">
        <v>3</v>
      </c>
      <c r="K214" s="149" t="n">
        <v>1656.28</v>
      </c>
      <c r="L214" s="149" t="n">
        <f aca="false">M214+N214</f>
        <v>1656.28</v>
      </c>
      <c r="M214" s="149" t="n">
        <v>1656.28</v>
      </c>
      <c r="N214" s="190"/>
      <c r="O214" s="228" t="n">
        <v>4</v>
      </c>
      <c r="P214" s="161" t="n">
        <v>5104.51</v>
      </c>
      <c r="Q214" s="161" t="n">
        <f aca="false">R214+S214</f>
        <v>3342.51</v>
      </c>
      <c r="R214" s="161" t="n">
        <v>3342.51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216</v>
      </c>
      <c r="G215" s="152" t="s">
        <v>26</v>
      </c>
      <c r="H215" s="174" t="n">
        <v>5</v>
      </c>
      <c r="I215" s="154" t="n">
        <v>3</v>
      </c>
      <c r="J215" s="154" t="n">
        <v>3</v>
      </c>
      <c r="K215" s="155" t="n">
        <v>5990.8</v>
      </c>
      <c r="L215" s="155" t="n">
        <f aca="false">M215+N215</f>
        <v>4286</v>
      </c>
      <c r="M215" s="155" t="n">
        <f aca="false">3052.81</f>
        <v>3052.81</v>
      </c>
      <c r="N215" s="156" t="n">
        <v>1233.19</v>
      </c>
      <c r="O215" s="209" t="n">
        <v>7</v>
      </c>
      <c r="P215" s="155" t="n">
        <v>7343.2</v>
      </c>
      <c r="Q215" s="155" t="n">
        <f aca="false">R215+S215</f>
        <v>7343.2</v>
      </c>
      <c r="R215" s="155" t="n">
        <f aca="false">528.6</f>
        <v>528.6</v>
      </c>
      <c r="S215" s="156" t="n">
        <v>6814.6</v>
      </c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33"/>
      <c r="B216" s="34" t="s">
        <v>143</v>
      </c>
      <c r="C216" s="35" t="s">
        <v>20</v>
      </c>
      <c r="D216" s="35"/>
      <c r="E216" s="35" t="s">
        <v>25</v>
      </c>
      <c r="F216" s="36"/>
      <c r="G216" s="146" t="s">
        <v>22</v>
      </c>
      <c r="H216" s="169"/>
      <c r="I216" s="160"/>
      <c r="J216" s="160"/>
      <c r="K216" s="161"/>
      <c r="L216" s="161" t="n">
        <f aca="false">M216+N216</f>
        <v>0</v>
      </c>
      <c r="M216" s="161"/>
      <c r="N216" s="190"/>
      <c r="O216" s="163" t="n">
        <v>1</v>
      </c>
      <c r="P216" s="161" t="n">
        <v>1515.67</v>
      </c>
      <c r="Q216" s="161" t="n">
        <f aca="false">R216+S216</f>
        <v>0</v>
      </c>
      <c r="R216" s="161"/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42" t="s">
        <v>217</v>
      </c>
      <c r="G217" s="164" t="s">
        <v>26</v>
      </c>
      <c r="H217" s="171" t="n">
        <v>5</v>
      </c>
      <c r="I217" s="165"/>
      <c r="J217" s="165"/>
      <c r="K217" s="166"/>
      <c r="L217" s="166" t="n">
        <f aca="false">M217+N217</f>
        <v>0</v>
      </c>
      <c r="M217" s="166"/>
      <c r="N217" s="156"/>
      <c r="O217" s="168" t="n">
        <v>6</v>
      </c>
      <c r="P217" s="166" t="n">
        <v>34775.2</v>
      </c>
      <c r="Q217" s="166" t="n">
        <f aca="false">R217+S217</f>
        <v>704.8</v>
      </c>
      <c r="R217" s="166"/>
      <c r="S217" s="156" t="n">
        <v>704.8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144</v>
      </c>
      <c r="C218" s="19" t="s">
        <v>20</v>
      </c>
      <c r="D218" s="19"/>
      <c r="E218" s="19" t="s">
        <v>81</v>
      </c>
      <c r="F218" s="20"/>
      <c r="G218" s="146" t="s">
        <v>22</v>
      </c>
      <c r="H218" s="159" t="n">
        <v>6</v>
      </c>
      <c r="I218" s="148" t="n">
        <v>4</v>
      </c>
      <c r="J218" s="148" t="n">
        <v>4</v>
      </c>
      <c r="K218" s="149" t="n">
        <v>2995.4</v>
      </c>
      <c r="L218" s="149" t="n">
        <f aca="false">M218+N218</f>
        <v>0</v>
      </c>
      <c r="M218" s="149"/>
      <c r="N218" s="190"/>
      <c r="O218" s="151" t="n">
        <v>4</v>
      </c>
      <c r="P218" s="149" t="n">
        <v>3636.77</v>
      </c>
      <c r="Q218" s="149" t="n">
        <f aca="false">R218+S218</f>
        <v>735.64</v>
      </c>
      <c r="R218" s="149"/>
      <c r="S218" s="190" t="n">
        <v>735.64</v>
      </c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218</v>
      </c>
      <c r="G219" s="152" t="s">
        <v>26</v>
      </c>
      <c r="H219" s="171" t="n">
        <v>6</v>
      </c>
      <c r="I219" s="154" t="n">
        <v>2</v>
      </c>
      <c r="J219" s="154" t="n">
        <v>2</v>
      </c>
      <c r="K219" s="155" t="n">
        <v>4052.6</v>
      </c>
      <c r="L219" s="155" t="n">
        <f aca="false">M219+N219</f>
        <v>0</v>
      </c>
      <c r="M219" s="155"/>
      <c r="N219" s="156"/>
      <c r="O219" s="157" t="n">
        <v>2</v>
      </c>
      <c r="P219" s="155" t="n">
        <v>4493.1</v>
      </c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true" outlineLevel="0" collapsed="false">
      <c r="A220" s="33"/>
      <c r="B220" s="34" t="s">
        <v>145</v>
      </c>
      <c r="C220" s="35" t="s">
        <v>20</v>
      </c>
      <c r="D220" s="35"/>
      <c r="E220" s="35" t="s">
        <v>98</v>
      </c>
      <c r="F220" s="36"/>
      <c r="G220" s="146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/>
      <c r="P220" s="161"/>
      <c r="Q220" s="161" t="n">
        <f aca="false">R220+S220</f>
        <v>0</v>
      </c>
      <c r="R220" s="161"/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71"/>
      <c r="G221" s="164" t="s">
        <v>23</v>
      </c>
      <c r="H221" s="175"/>
      <c r="I221" s="165"/>
      <c r="J221" s="165"/>
      <c r="K221" s="166"/>
      <c r="L221" s="166" t="n">
        <f aca="false">M221+N221</f>
        <v>0</v>
      </c>
      <c r="M221" s="166"/>
      <c r="N221" s="156"/>
      <c r="O221" s="168"/>
      <c r="P221" s="166"/>
      <c r="Q221" s="166" t="n">
        <f aca="false">R221+S221</f>
        <v>0</v>
      </c>
      <c r="R221" s="166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" hidden="false" customHeight="true" outlineLevel="0" collapsed="false">
      <c r="A222" s="17"/>
      <c r="B222" s="18" t="s">
        <v>146</v>
      </c>
      <c r="C222" s="19" t="s">
        <v>20</v>
      </c>
      <c r="D222" s="19"/>
      <c r="E222" s="19" t="s">
        <v>25</v>
      </c>
      <c r="F222" s="22"/>
      <c r="G222" s="146" t="s">
        <v>22</v>
      </c>
      <c r="H222" s="173" t="n">
        <v>6</v>
      </c>
      <c r="I222" s="148" t="n">
        <v>4</v>
      </c>
      <c r="J222" s="148" t="n">
        <v>4</v>
      </c>
      <c r="K222" s="149" t="n">
        <v>2819.2</v>
      </c>
      <c r="L222" s="149" t="n">
        <f aca="false">M222+N222</f>
        <v>352.4</v>
      </c>
      <c r="M222" s="149" t="n">
        <v>352.4</v>
      </c>
      <c r="N222" s="190"/>
      <c r="O222" s="206" t="n">
        <v>1</v>
      </c>
      <c r="P222" s="149" t="n">
        <v>1546.68</v>
      </c>
      <c r="Q222" s="149" t="n">
        <f aca="false">R222+S222</f>
        <v>1546.68</v>
      </c>
      <c r="R222" s="149" t="n">
        <v>1546.68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219</v>
      </c>
      <c r="G223" s="152" t="s">
        <v>26</v>
      </c>
      <c r="H223" s="176"/>
      <c r="I223" s="154"/>
      <c r="J223" s="154"/>
      <c r="K223" s="155"/>
      <c r="L223" s="155" t="n">
        <f aca="false">M223+N223</f>
        <v>0</v>
      </c>
      <c r="M223" s="155" t="n">
        <v>0</v>
      </c>
      <c r="N223" s="156"/>
      <c r="O223" s="209" t="n">
        <v>1</v>
      </c>
      <c r="P223" s="155" t="n">
        <v>1585.8</v>
      </c>
      <c r="Q223" s="155" t="n">
        <f aca="false">R223+S223</f>
        <v>1585.8</v>
      </c>
      <c r="R223" s="155" t="n">
        <v>1585.8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147</v>
      </c>
      <c r="C224" s="56" t="s">
        <v>20</v>
      </c>
      <c r="D224" s="56"/>
      <c r="E224" s="56" t="s">
        <v>25</v>
      </c>
      <c r="F224" s="97"/>
      <c r="G224" s="146" t="s">
        <v>22</v>
      </c>
      <c r="H224" s="159" t="n">
        <v>3</v>
      </c>
      <c r="I224" s="160" t="n">
        <v>3</v>
      </c>
      <c r="J224" s="160" t="n">
        <v>3</v>
      </c>
      <c r="K224" s="161" t="n">
        <v>2093.26</v>
      </c>
      <c r="L224" s="161" t="n">
        <f aca="false">M224+N224</f>
        <v>0</v>
      </c>
      <c r="M224" s="161"/>
      <c r="N224" s="190"/>
      <c r="O224" s="163" t="n">
        <v>3</v>
      </c>
      <c r="P224" s="161" t="n">
        <v>14266.03</v>
      </c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220</v>
      </c>
      <c r="G225" s="152" t="s">
        <v>26</v>
      </c>
      <c r="H225" s="171" t="n">
        <v>8</v>
      </c>
      <c r="I225" s="154" t="n">
        <v>1</v>
      </c>
      <c r="J225" s="154" t="n">
        <v>1</v>
      </c>
      <c r="K225" s="155" t="n">
        <v>6167</v>
      </c>
      <c r="L225" s="189" t="n">
        <f aca="false">M225+N225</f>
        <v>528.6</v>
      </c>
      <c r="M225" s="155" t="n">
        <v>0</v>
      </c>
      <c r="N225" s="167" t="n">
        <v>528.6</v>
      </c>
      <c r="O225" s="157" t="n">
        <v>5</v>
      </c>
      <c r="P225" s="155" t="n">
        <v>13038.8</v>
      </c>
      <c r="Q225" s="161" t="n">
        <f aca="false">R225+S225</f>
        <v>13743.6</v>
      </c>
      <c r="R225" s="155" t="n">
        <f aca="false">7048+528.6</f>
        <v>7576.6</v>
      </c>
      <c r="S225" s="156" t="n">
        <v>6167</v>
      </c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148</v>
      </c>
      <c r="C226" s="19" t="s">
        <v>20</v>
      </c>
      <c r="D226" s="19"/>
      <c r="E226" s="19" t="s">
        <v>21</v>
      </c>
      <c r="F226" s="22"/>
      <c r="G226" s="146" t="s">
        <v>22</v>
      </c>
      <c r="H226" s="173" t="n">
        <v>1</v>
      </c>
      <c r="I226" s="148" t="n">
        <v>1</v>
      </c>
      <c r="J226" s="148" t="n">
        <v>1</v>
      </c>
      <c r="K226" s="149" t="n">
        <v>436.1</v>
      </c>
      <c r="L226" s="149" t="n">
        <f aca="false">M226+N226</f>
        <v>0</v>
      </c>
      <c r="M226" s="149"/>
      <c r="N226" s="198"/>
      <c r="O226" s="151" t="n">
        <v>1</v>
      </c>
      <c r="P226" s="149" t="n">
        <v>13232.99</v>
      </c>
      <c r="Q226" s="149" t="n">
        <f aca="false">R226+S226</f>
        <v>0</v>
      </c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248</v>
      </c>
      <c r="G227" s="152" t="s">
        <v>23</v>
      </c>
      <c r="H227" s="171" t="n">
        <v>2</v>
      </c>
      <c r="I227" s="154"/>
      <c r="J227" s="154"/>
      <c r="K227" s="155"/>
      <c r="L227" s="155" t="n">
        <f aca="false">M227+N227</f>
        <v>0</v>
      </c>
      <c r="M227" s="155"/>
      <c r="N227" s="156"/>
      <c r="O227" s="157" t="n">
        <v>1</v>
      </c>
      <c r="P227" s="155" t="n">
        <v>572.65</v>
      </c>
      <c r="Q227" s="155" t="n">
        <v>572.65</v>
      </c>
      <c r="R227" s="155" t="n">
        <v>572.65</v>
      </c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99"/>
      <c r="B228" s="100" t="s">
        <v>149</v>
      </c>
      <c r="C228" s="100"/>
      <c r="D228" s="100"/>
      <c r="E228" s="100"/>
      <c r="F228" s="100"/>
      <c r="G228" s="212"/>
      <c r="H228" s="213" t="n">
        <f aca="false">SUM(H9:H227)</f>
        <v>1058</v>
      </c>
      <c r="I228" s="214" t="n">
        <f aca="false">SUM(I9:I227)</f>
        <v>483</v>
      </c>
      <c r="J228" s="214" t="n">
        <f aca="false">SUM(J9:J227)</f>
        <v>530</v>
      </c>
      <c r="K228" s="215" t="n">
        <f aca="false">SUM(K9:K227)</f>
        <v>717238.67</v>
      </c>
      <c r="L228" s="215" t="n">
        <f aca="false">SUM(L9:L227)</f>
        <v>251330.44</v>
      </c>
      <c r="M228" s="215" t="n">
        <f aca="false">SUM(M9:M227)</f>
        <v>144997.09</v>
      </c>
      <c r="N228" s="243" t="n">
        <f aca="false">SUM(N9:N227)</f>
        <v>106333.35</v>
      </c>
      <c r="O228" s="244" t="n">
        <f aca="false">SUM(O9:O227)</f>
        <v>715</v>
      </c>
      <c r="P228" s="245" t="n">
        <f aca="false">SUM(P9:P227)</f>
        <v>2032131.89</v>
      </c>
      <c r="Q228" s="245" t="n">
        <f aca="false">SUM(Q9:Q227)</f>
        <v>1129880.54</v>
      </c>
      <c r="R228" s="245" t="n">
        <f aca="false">SUM(R9:R227)</f>
        <v>509909.33</v>
      </c>
      <c r="S228" s="246" t="n">
        <f aca="false">SUM(S9:S227)</f>
        <v>619971.21</v>
      </c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I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2"/>
      <c r="B232" s="2"/>
      <c r="C232" s="2"/>
      <c r="D232" s="2"/>
      <c r="E232" s="2"/>
      <c r="F232" s="103"/>
      <c r="G232" s="104" t="s">
        <v>5</v>
      </c>
      <c r="H232" s="104"/>
      <c r="I232" s="104"/>
      <c r="J232" s="104"/>
      <c r="K232" s="104"/>
      <c r="L232" s="104"/>
      <c r="M232" s="104"/>
      <c r="N232" s="104" t="s">
        <v>6</v>
      </c>
      <c r="O232" s="104"/>
      <c r="P232" s="104"/>
      <c r="Q232" s="104"/>
      <c r="R232" s="104"/>
      <c r="S232" s="105" t="s">
        <v>150</v>
      </c>
      <c r="T232" s="105" t="s">
        <v>253</v>
      </c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103"/>
      <c r="G233" s="106" t="s">
        <v>13</v>
      </c>
      <c r="H233" s="106" t="s">
        <v>14</v>
      </c>
      <c r="I233" s="106" t="s">
        <v>15</v>
      </c>
      <c r="J233" s="106" t="s">
        <v>226</v>
      </c>
      <c r="K233" s="106" t="s">
        <v>16</v>
      </c>
      <c r="L233" s="106" t="s">
        <v>17</v>
      </c>
      <c r="M233" s="106" t="s">
        <v>18</v>
      </c>
      <c r="N233" s="106" t="s">
        <v>15</v>
      </c>
      <c r="O233" s="106" t="s">
        <v>226</v>
      </c>
      <c r="P233" s="106" t="s">
        <v>16</v>
      </c>
      <c r="Q233" s="106" t="s">
        <v>17</v>
      </c>
      <c r="R233" s="106" t="s">
        <v>18</v>
      </c>
      <c r="S233" s="105"/>
      <c r="T233" s="105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107" t="s">
        <v>22</v>
      </c>
      <c r="G234" s="108" t="n">
        <f aca="false">SUMIF($G$9:$G$227,$F$234,H9:H227)</f>
        <v>664</v>
      </c>
      <c r="H234" s="108" t="n">
        <f aca="false">SUMIF($G$9:$G$227,$F$234,I9:I227)</f>
        <v>400</v>
      </c>
      <c r="I234" s="108" t="n">
        <f aca="false">SUMIF($G$9:$G$227,$F$234,J9:J227)</f>
        <v>448</v>
      </c>
      <c r="J234" s="110" t="n">
        <f aca="false">SUMIF($G$9:$G$227,F234,$K$9:$K$227)</f>
        <v>577247.25</v>
      </c>
      <c r="K234" s="110" t="n">
        <f aca="false">SUMIF($G$9:$G$227,$F$234,L9:L227)</f>
        <v>223257.44</v>
      </c>
      <c r="L234" s="110" t="n">
        <f aca="false">SUMIF($G$9:$G$227,$F$234,M9:M227)</f>
        <v>134543.88</v>
      </c>
      <c r="M234" s="110" t="n">
        <f aca="false">SUMIF($G$9:$G$227,$F$234,N9:N227)</f>
        <v>88713.56</v>
      </c>
      <c r="N234" s="108" t="n">
        <f aca="false">SUMIF($G$9:$G$227,$F$234,O9:O227)</f>
        <v>498</v>
      </c>
      <c r="O234" s="110" t="n">
        <f aca="false">SUMIF($G$9:$G$227,F234,$P$9:$P$227)</f>
        <v>1448975.78</v>
      </c>
      <c r="P234" s="110" t="n">
        <f aca="false">SUMIF($G$9:$G$227,$F$234,Q9:Q227)</f>
        <v>853489.04</v>
      </c>
      <c r="Q234" s="110" t="n">
        <f aca="false">SUMIF($G$9:$G$227,$F$234,R9:R227)</f>
        <v>435901.59</v>
      </c>
      <c r="R234" s="110" t="n">
        <f aca="false">SUMIF($G$9:$G$227,$F$234,S9:S227)</f>
        <v>417587.45</v>
      </c>
      <c r="S234" s="110" t="n">
        <f aca="false">Q234+L234</f>
        <v>570445.47</v>
      </c>
      <c r="T234" s="111" t="n">
        <f aca="false">J234-L234+O234-Q234</f>
        <v>1455777.56</v>
      </c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107" t="s">
        <v>26</v>
      </c>
      <c r="G235" s="108" t="n">
        <f aca="false">SUMIF($G$9:$G$227,$F$235,H9:H227)</f>
        <v>237</v>
      </c>
      <c r="H235" s="108" t="n">
        <v>20</v>
      </c>
      <c r="I235" s="108" t="n">
        <f aca="false">SUMIF($G$9:$G$227,$F$235,J9:J227)</f>
        <v>48</v>
      </c>
      <c r="J235" s="110" t="n">
        <f aca="false">SUMIF($G$9:$G$227,F235,$K$9:$K$227)</f>
        <v>102270.82</v>
      </c>
      <c r="K235" s="110" t="n">
        <f aca="false">SUMIF($G$9:$G$227,$F$235,L9:L227)</f>
        <v>20672.6</v>
      </c>
      <c r="L235" s="110" t="n">
        <f aca="false">SUMIF($G$9:$G$227,$F$235,M9:M227)</f>
        <v>3052.81</v>
      </c>
      <c r="M235" s="110" t="n">
        <f aca="false">SUMIF($G$9:$G$227,$F$235,N9:N227)</f>
        <v>17619.79</v>
      </c>
      <c r="N235" s="108" t="n">
        <f aca="false">SUMIF($G$9:$G$227,$F$235,O9:O227)</f>
        <v>149</v>
      </c>
      <c r="O235" s="110" t="n">
        <f aca="false">SUMIF($G$9:$G$227,F235,$P$9:$P$227)</f>
        <v>427800.4</v>
      </c>
      <c r="P235" s="110" t="n">
        <f aca="false">SUMIF($G$9:$G$227,$F$235,Q9:Q227)</f>
        <v>243930.95</v>
      </c>
      <c r="Q235" s="110" t="n">
        <f aca="false">SUMIF($G$9:$G$227,$F$235,R9:R227)</f>
        <v>41547.19</v>
      </c>
      <c r="R235" s="110" t="n">
        <f aca="false">SUMIF($G$9:$G$227,$F$235,S9:S227)</f>
        <v>202383.76</v>
      </c>
      <c r="S235" s="110" t="n">
        <f aca="false">Q235+L235</f>
        <v>44600</v>
      </c>
      <c r="T235" s="111" t="n">
        <f aca="false">J235-L235+O235-Q235</f>
        <v>485471.22</v>
      </c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107" t="s">
        <v>23</v>
      </c>
      <c r="G236" s="108" t="n">
        <f aca="false">SUMIF($G$9:$G$227,$F$236,H9:H227)</f>
        <v>157</v>
      </c>
      <c r="H236" s="108" t="n">
        <f aca="false">SUMIF($G$9:$G$227,$F$236,I9:I227)</f>
        <v>34</v>
      </c>
      <c r="I236" s="108" t="n">
        <f aca="false">SUMIF($G$9:$G$227,$F$236,J9:J227)</f>
        <v>34</v>
      </c>
      <c r="J236" s="110" t="n">
        <f aca="false">SUMIF($G$9:$G$227,F236,$K$9:$K$227)</f>
        <v>37720.6</v>
      </c>
      <c r="K236" s="110" t="n">
        <f aca="false">SUMIF($G$9:$G$227,$F$236,L9:L227)</f>
        <v>7400.4</v>
      </c>
      <c r="L236" s="110" t="n">
        <f aca="false">SUMIF($G$9:$G$227,$F$236,M9:M227)</f>
        <v>7400.4</v>
      </c>
      <c r="M236" s="110" t="n">
        <f aca="false">SUMIF($G$9:$G$227,$F$236,N9:N227)</f>
        <v>0</v>
      </c>
      <c r="N236" s="108" t="n">
        <f aca="false">SUMIF($G$9:$G$227,$F$236,O9:O227)</f>
        <v>68</v>
      </c>
      <c r="O236" s="110" t="n">
        <f aca="false">SUMIF($G$9:$G$227,F236,$P$9:$P$227)</f>
        <v>155355.71</v>
      </c>
      <c r="P236" s="110" t="n">
        <f aca="false">SUMIF($G$9:$G$227,$F$236,Q9:Q227)</f>
        <v>32460.55</v>
      </c>
      <c r="Q236" s="110" t="n">
        <f aca="false">SUMIF($G$9:$G$227,$F$236,R9:R227)</f>
        <v>32460.55</v>
      </c>
      <c r="R236" s="110" t="n">
        <f aca="false">SUMIF($G$9:$G$227,$F$236,S9:S227)</f>
        <v>0</v>
      </c>
      <c r="S236" s="110" t="n">
        <f aca="false">Q236+L236</f>
        <v>39860.95</v>
      </c>
      <c r="T236" s="111" t="n">
        <f aca="false">J236-L236+O236-Q236</f>
        <v>153215.36</v>
      </c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16" t="n">
        <f aca="false">G236+G235+G234</f>
        <v>1058</v>
      </c>
      <c r="H237" s="216" t="n">
        <f aca="false">H236+H235+H234</f>
        <v>454</v>
      </c>
      <c r="I237" s="216" t="n">
        <f aca="false">I236+I235+I234</f>
        <v>530</v>
      </c>
      <c r="J237" s="217" t="n">
        <f aca="false">J236+J235+J234</f>
        <v>717238.67</v>
      </c>
      <c r="K237" s="217" t="n">
        <f aca="false">K236+K235+K234</f>
        <v>251330.44</v>
      </c>
      <c r="L237" s="217" t="n">
        <f aca="false">L236+L235+L234</f>
        <v>144997.09</v>
      </c>
      <c r="M237" s="217" t="n">
        <f aca="false">M236+M235+M234</f>
        <v>106333.35</v>
      </c>
      <c r="N237" s="216" t="n">
        <f aca="false">N236+N235+N234</f>
        <v>715</v>
      </c>
      <c r="O237" s="217" t="n">
        <f aca="false">O236+O235+O234</f>
        <v>2032131.89</v>
      </c>
      <c r="P237" s="217" t="n">
        <f aca="false">P236+P235+P234</f>
        <v>1129880.54</v>
      </c>
      <c r="Q237" s="217" t="n">
        <f aca="false">Q236+Q235+Q234</f>
        <v>509909.33</v>
      </c>
      <c r="R237" s="217" t="n">
        <f aca="false">R236+R235+R234</f>
        <v>619971.21</v>
      </c>
      <c r="S237" s="217" t="n">
        <f aca="false">S236+S235+S234</f>
        <v>654906.42</v>
      </c>
      <c r="T237" s="217" t="n">
        <f aca="false">T236+T235+T234</f>
        <v>2094464.14</v>
      </c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 t="s">
        <v>22</v>
      </c>
      <c r="G260" s="2" t="n">
        <v>664</v>
      </c>
      <c r="H260" s="2" t="n">
        <v>400</v>
      </c>
      <c r="I260" s="2" t="n">
        <v>448</v>
      </c>
      <c r="J260" s="2" t="n">
        <v>577247.25</v>
      </c>
      <c r="K260" s="2"/>
      <c r="L260" s="2"/>
      <c r="M260" s="2"/>
      <c r="N260" s="2" t="n">
        <v>498</v>
      </c>
      <c r="O260" s="2" t="n">
        <v>1448975.78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K271" s="236"/>
    </row>
    <row r="272" customFormat="false" ht="15" hidden="false" customHeight="false" outlineLevel="0" collapsed="false">
      <c r="K272" s="236"/>
    </row>
    <row r="273" customFormat="false" ht="15" hidden="false" customHeight="false" outlineLevel="0" collapsed="false">
      <c r="K273" s="236"/>
    </row>
    <row r="274" customFormat="false" ht="15" hidden="false" customHeight="false" outlineLevel="0" collapsed="false">
      <c r="K274" s="236"/>
    </row>
    <row r="275" customFormat="false" ht="15" hidden="false" customHeight="false" outlineLevel="0" collapsed="false">
      <c r="K275" s="236"/>
    </row>
    <row r="276" customFormat="false" ht="15" hidden="false" customHeight="false" outlineLevel="0" collapsed="false">
      <c r="K276" s="236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F282" s="0" t="s">
        <v>22</v>
      </c>
      <c r="G282" s="0" t="n">
        <v>606</v>
      </c>
      <c r="H282" s="0" t="n">
        <v>346</v>
      </c>
      <c r="I282" s="0" t="n">
        <v>380</v>
      </c>
      <c r="J282" s="0" t="n">
        <v>468392.82</v>
      </c>
      <c r="K282" s="236" t="n">
        <v>223257.44</v>
      </c>
      <c r="L282" s="0" t="n">
        <v>118187.57</v>
      </c>
      <c r="M282" s="0" t="n">
        <v>105069.87</v>
      </c>
      <c r="N282" s="0" t="n">
        <v>454</v>
      </c>
      <c r="O282" s="0" t="n">
        <v>1304010.26</v>
      </c>
      <c r="P282" s="0" t="n">
        <v>853489.04</v>
      </c>
      <c r="Q282" s="0" t="n">
        <v>331812.43</v>
      </c>
      <c r="R282" s="0" t="n">
        <v>521676.61</v>
      </c>
      <c r="S282" s="0" t="n">
        <v>450000</v>
      </c>
      <c r="T282" s="0" t="n">
        <v>1322403.08</v>
      </c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</sheetData>
  <mergeCells count="54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7"/>
    <mergeCell ref="B165:B167"/>
    <mergeCell ref="C165:C167"/>
    <mergeCell ref="D165:D167"/>
    <mergeCell ref="E165:E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B174:B175"/>
    <mergeCell ref="D174:D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F232:F233"/>
    <mergeCell ref="G232:M232"/>
    <mergeCell ref="N232:R232"/>
    <mergeCell ref="S232:S233"/>
    <mergeCell ref="T232:T23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1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2037.73</v>
      </c>
      <c r="R9" s="149" t="n">
        <v>2037.73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13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3301.64</v>
      </c>
      <c r="M11" s="161" t="n">
        <v>3301.64</v>
      </c>
      <c r="N11" s="239"/>
      <c r="O11" s="151" t="n">
        <v>7</v>
      </c>
      <c r="P11" s="149" t="n">
        <v>30598.11</v>
      </c>
      <c r="Q11" s="149" t="n">
        <f aca="false">R11+S11</f>
        <v>5800.07</v>
      </c>
      <c r="R11" s="149" t="n">
        <v>5800.07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1585.8</v>
      </c>
      <c r="R12" s="155"/>
      <c r="S12" s="156" t="n">
        <v>1585.8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16</v>
      </c>
      <c r="I13" s="148" t="n">
        <v>14</v>
      </c>
      <c r="J13" s="148" t="n">
        <v>20</v>
      </c>
      <c r="K13" s="149" t="n">
        <v>22535.38</v>
      </c>
      <c r="L13" s="149" t="n">
        <f aca="false">M13+N13</f>
        <v>9684.56</v>
      </c>
      <c r="M13" s="149" t="n">
        <v>9684.56</v>
      </c>
      <c r="N13" s="190"/>
      <c r="O13" s="228" t="n">
        <v>4</v>
      </c>
      <c r="P13" s="161" t="n">
        <v>12388.39</v>
      </c>
      <c r="Q13" s="161" t="n">
        <f aca="false">R13+S13</f>
        <v>9745.39</v>
      </c>
      <c r="R13" s="161" t="n">
        <v>9745.39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2</v>
      </c>
      <c r="J14" s="154" t="n">
        <v>2</v>
      </c>
      <c r="K14" s="155" t="n">
        <v>1938.2</v>
      </c>
      <c r="L14" s="155" t="n">
        <f aca="false">M14+N14</f>
        <v>0</v>
      </c>
      <c r="M14" s="155" t="n">
        <v>0</v>
      </c>
      <c r="N14" s="156"/>
      <c r="O14" s="209" t="n">
        <v>5</v>
      </c>
      <c r="P14" s="155" t="n">
        <v>7221.2</v>
      </c>
      <c r="Q14" s="155" t="n">
        <f aca="false">R14+S14</f>
        <v>8801.9</v>
      </c>
      <c r="R14" s="155" t="n">
        <f aca="false">1585.8+2106.3</f>
        <v>3692.1</v>
      </c>
      <c r="S14" s="167" t="n">
        <v>5109.8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7224.2</v>
      </c>
      <c r="R16" s="166"/>
      <c r="S16" s="167" t="n">
        <v>7224.2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1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3</v>
      </c>
      <c r="I18" s="154" t="n">
        <v>1</v>
      </c>
      <c r="J18" s="154" t="n">
        <v>1</v>
      </c>
      <c r="K18" s="155" t="n">
        <v>704.8</v>
      </c>
      <c r="L18" s="155" t="n">
        <f aca="false">M18+N18</f>
        <v>0</v>
      </c>
      <c r="M18" s="155"/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10</v>
      </c>
      <c r="I19" s="160" t="n">
        <v>4</v>
      </c>
      <c r="J19" s="160" t="n">
        <v>4</v>
      </c>
      <c r="K19" s="161" t="n">
        <v>4012.08</v>
      </c>
      <c r="L19" s="161" t="n">
        <f aca="false">M19+N19</f>
        <v>4012.08</v>
      </c>
      <c r="M19" s="161"/>
      <c r="N19" s="190" t="n">
        <v>4012.08</v>
      </c>
      <c r="O19" s="163" t="n">
        <v>14</v>
      </c>
      <c r="P19" s="161" t="n">
        <v>24738.16</v>
      </c>
      <c r="Q19" s="161" t="n">
        <f aca="false">R19+S19</f>
        <v>17766.28</v>
      </c>
      <c r="R19" s="161" t="n">
        <v>9903.11</v>
      </c>
      <c r="S19" s="190" t="n">
        <v>7863.17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17</v>
      </c>
      <c r="I21" s="160" t="n">
        <v>12</v>
      </c>
      <c r="J21" s="160" t="n">
        <v>17</v>
      </c>
      <c r="K21" s="161" t="n">
        <v>20666.49</v>
      </c>
      <c r="L21" s="161" t="n">
        <f aca="false">M21+N21</f>
        <v>15483.57</v>
      </c>
      <c r="M21" s="161" t="n">
        <v>7998.6</v>
      </c>
      <c r="N21" s="190" t="n">
        <v>7484.97</v>
      </c>
      <c r="O21" s="151" t="n">
        <v>16</v>
      </c>
      <c r="P21" s="149" t="n">
        <v>29046.42</v>
      </c>
      <c r="Q21" s="149" t="n">
        <f aca="false">R21+S21</f>
        <v>21911.73</v>
      </c>
      <c r="R21" s="149" t="n">
        <v>13470.86</v>
      </c>
      <c r="S21" s="198" t="n">
        <v>8440.87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1</v>
      </c>
      <c r="P22" s="155" t="n">
        <v>704.8</v>
      </c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10</v>
      </c>
      <c r="I23" s="148" t="n">
        <v>8</v>
      </c>
      <c r="J23" s="148" t="n">
        <v>8</v>
      </c>
      <c r="K23" s="148" t="n">
        <v>2378.7</v>
      </c>
      <c r="L23" s="149" t="n">
        <f aca="false">M23+N23</f>
        <v>0</v>
      </c>
      <c r="M23" s="149"/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16</v>
      </c>
      <c r="I25" s="160" t="n">
        <v>9</v>
      </c>
      <c r="J25" s="160" t="n">
        <v>13</v>
      </c>
      <c r="K25" s="161" t="n">
        <v>21522.43</v>
      </c>
      <c r="L25" s="161" t="n">
        <f aca="false">M25+N25</f>
        <v>10416.76</v>
      </c>
      <c r="M25" s="161" t="n">
        <v>10416.76</v>
      </c>
      <c r="N25" s="190"/>
      <c r="O25" s="151" t="n">
        <v>7</v>
      </c>
      <c r="P25" s="149" t="n">
        <v>12143.43</v>
      </c>
      <c r="Q25" s="149" t="n">
        <f aca="false">R25+S25</f>
        <v>9706.58</v>
      </c>
      <c r="R25" s="149" t="n">
        <v>9706.58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/>
      <c r="J26" s="165"/>
      <c r="K26" s="166"/>
      <c r="L26" s="166" t="n">
        <f aca="false">M26+N26</f>
        <v>0</v>
      </c>
      <c r="M26" s="166"/>
      <c r="N26" s="156"/>
      <c r="O26" s="157" t="n">
        <v>7</v>
      </c>
      <c r="P26" s="155" t="n">
        <v>17972.4</v>
      </c>
      <c r="Q26" s="155" t="n">
        <f aca="false">R26+S26</f>
        <v>15681.8</v>
      </c>
      <c r="R26" s="155"/>
      <c r="S26" s="156" t="n">
        <v>15681.8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3202.02</v>
      </c>
      <c r="S27" s="198" t="n">
        <v>3171.6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0</v>
      </c>
      <c r="M28" s="166"/>
      <c r="N28" s="156"/>
      <c r="O28" s="157" t="n">
        <v>5</v>
      </c>
      <c r="P28" s="155" t="n">
        <v>19381.4</v>
      </c>
      <c r="Q28" s="155" t="n">
        <f aca="false">R28+S28</f>
        <v>7576.6</v>
      </c>
      <c r="R28" s="155" t="n">
        <f aca="false">5286+2290.6</f>
        <v>7576.6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 t="s">
        <v>20</v>
      </c>
      <c r="D29" s="19"/>
      <c r="E29" s="19" t="s">
        <v>278</v>
      </c>
      <c r="F29" s="20"/>
      <c r="G29" s="146" t="s">
        <v>22</v>
      </c>
      <c r="H29" s="147" t="n">
        <v>6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10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 t="n">
        <v>1</v>
      </c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3</v>
      </c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8</v>
      </c>
      <c r="I35" s="160" t="n">
        <v>5</v>
      </c>
      <c r="J35" s="160" t="n">
        <v>5</v>
      </c>
      <c r="K35" s="161" t="n">
        <v>7486.21</v>
      </c>
      <c r="L35" s="161" t="n">
        <f aca="false">M35+N35</f>
        <v>4815.55</v>
      </c>
      <c r="M35" s="161" t="n">
        <v>4815.55</v>
      </c>
      <c r="N35" s="190"/>
      <c r="O35" s="151" t="n">
        <v>10</v>
      </c>
      <c r="P35" s="149" t="n">
        <v>39637.95</v>
      </c>
      <c r="Q35" s="149" t="n">
        <f aca="false">R35+S35</f>
        <v>22406.54</v>
      </c>
      <c r="R35" s="149" t="n">
        <v>17818.29</v>
      </c>
      <c r="S35" s="198" t="n">
        <v>4588.25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1</v>
      </c>
      <c r="J36" s="154" t="n">
        <v>1</v>
      </c>
      <c r="K36" s="155" t="n">
        <v>1233.4</v>
      </c>
      <c r="L36" s="155" t="n">
        <f aca="false">M36+N36</f>
        <v>0</v>
      </c>
      <c r="M36" s="155"/>
      <c r="N36" s="156"/>
      <c r="O36" s="157" t="n">
        <v>5</v>
      </c>
      <c r="P36" s="155" t="n">
        <v>13567.4</v>
      </c>
      <c r="Q36" s="155" t="n">
        <f aca="false">R36+S36</f>
        <v>7400.4</v>
      </c>
      <c r="R36" s="155"/>
      <c r="S36" s="156" t="n">
        <v>7400.4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9</v>
      </c>
      <c r="I37" s="160" t="n">
        <v>7</v>
      </c>
      <c r="J37" s="160" t="n">
        <v>8</v>
      </c>
      <c r="K37" s="161" t="n">
        <v>17227.7</v>
      </c>
      <c r="L37" s="161" t="n">
        <f aca="false">M37+N37</f>
        <v>3765.39</v>
      </c>
      <c r="M37" s="161" t="n">
        <v>1924.1</v>
      </c>
      <c r="N37" s="190" t="n">
        <v>1841.29</v>
      </c>
      <c r="O37" s="151" t="n">
        <v>13</v>
      </c>
      <c r="P37" s="149" t="n">
        <v>52304.05</v>
      </c>
      <c r="Q37" s="149" t="n">
        <f aca="false">R37+S37</f>
        <v>48833.49</v>
      </c>
      <c r="R37" s="149" t="n">
        <v>15233.45</v>
      </c>
      <c r="S37" s="198" t="n">
        <v>33600.04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7</v>
      </c>
      <c r="I39" s="148" t="n">
        <v>1</v>
      </c>
      <c r="J39" s="148" t="n">
        <v>1</v>
      </c>
      <c r="K39" s="149" t="n">
        <v>621.99</v>
      </c>
      <c r="L39" s="149" t="n">
        <f aca="false">M39+N39</f>
        <v>621.99</v>
      </c>
      <c r="M39" s="149"/>
      <c r="N39" s="190" t="n">
        <v>621.99</v>
      </c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3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2793</v>
      </c>
      <c r="R40" s="166"/>
      <c r="S40" s="167" t="n">
        <v>2793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 t="n">
        <v>1</v>
      </c>
      <c r="I41" s="148"/>
      <c r="J41" s="148"/>
      <c r="K41" s="149"/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4593.81</v>
      </c>
      <c r="R41" s="149" t="n">
        <v>4593.81</v>
      </c>
      <c r="S41" s="198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2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157" t="n">
        <v>3</v>
      </c>
      <c r="P42" s="155" t="n">
        <v>11981.6</v>
      </c>
      <c r="Q42" s="155" t="n">
        <f aca="false">R42+S42</f>
        <v>528.6</v>
      </c>
      <c r="R42" s="155" t="n">
        <f aca="false">528.6</f>
        <v>528.6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3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41</v>
      </c>
      <c r="I47" s="148" t="n">
        <v>39</v>
      </c>
      <c r="J47" s="148" t="n">
        <v>39</v>
      </c>
      <c r="K47" s="149" t="n">
        <v>34590.47</v>
      </c>
      <c r="L47" s="149" t="n">
        <f aca="false">M47+N47</f>
        <v>14941.16</v>
      </c>
      <c r="M47" s="149" t="n">
        <v>14941.16</v>
      </c>
      <c r="N47" s="190"/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12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7082.9</v>
      </c>
      <c r="M49" s="161" t="n">
        <v>1830.37</v>
      </c>
      <c r="N49" s="190" t="n">
        <v>5252.53</v>
      </c>
      <c r="O49" s="151" t="n">
        <v>17</v>
      </c>
      <c r="P49" s="149" t="n">
        <v>61726.54</v>
      </c>
      <c r="Q49" s="149" t="n">
        <f aca="false">R49+S49</f>
        <v>38366.17</v>
      </c>
      <c r="R49" s="149" t="n">
        <v>34571.95</v>
      </c>
      <c r="S49" s="198" t="n">
        <v>3794.22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18745.92</v>
      </c>
      <c r="R51" s="161" t="n">
        <v>3805.92</v>
      </c>
      <c r="S51" s="190" t="n">
        <v>14940</v>
      </c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</f>
        <v>5081.89</v>
      </c>
      <c r="S52" s="156" t="n">
        <v>13038.8</v>
      </c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5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 t="n">
        <v>43131.21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56"/>
      <c r="O54" s="168"/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/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/>
      <c r="J56" s="154"/>
      <c r="K56" s="155"/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10</v>
      </c>
      <c r="I57" s="160" t="n">
        <v>6</v>
      </c>
      <c r="J57" s="160" t="n">
        <v>6</v>
      </c>
      <c r="K57" s="161" t="n">
        <v>6422.49</v>
      </c>
      <c r="L57" s="161" t="n">
        <f aca="false">M57+N57</f>
        <v>5893.89</v>
      </c>
      <c r="M57" s="161"/>
      <c r="N57" s="190" t="n">
        <v>5893.89</v>
      </c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 t="s">
        <v>20</v>
      </c>
      <c r="D59" s="19"/>
      <c r="E59" s="19" t="s">
        <v>278</v>
      </c>
      <c r="F59" s="20"/>
      <c r="G59" s="146" t="s">
        <v>22</v>
      </c>
      <c r="H59" s="173" t="n">
        <v>6</v>
      </c>
      <c r="I59" s="148" t="n">
        <v>2</v>
      </c>
      <c r="J59" s="148" t="n">
        <v>2</v>
      </c>
      <c r="K59" s="149" t="n">
        <v>5127.42</v>
      </c>
      <c r="L59" s="149" t="n">
        <f aca="false">M59+N59</f>
        <v>0</v>
      </c>
      <c r="M59" s="149"/>
      <c r="N59" s="190"/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3</v>
      </c>
      <c r="I60" s="154"/>
      <c r="J60" s="154"/>
      <c r="K60" s="155"/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8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2238.62</v>
      </c>
      <c r="M61" s="161" t="n">
        <v>2238.62</v>
      </c>
      <c r="N61" s="190"/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2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 t="s">
        <v>20</v>
      </c>
      <c r="D65" s="78"/>
      <c r="E65" s="56" t="s">
        <v>279</v>
      </c>
      <c r="F65" s="38"/>
      <c r="G65" s="158" t="s">
        <v>22</v>
      </c>
      <c r="H65" s="169" t="n">
        <v>9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0</v>
      </c>
      <c r="M65" s="161"/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2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1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 t="n">
        <v>881</v>
      </c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 t="s">
        <v>33</v>
      </c>
      <c r="D73" s="19" t="s">
        <v>280</v>
      </c>
      <c r="E73" s="19" t="s">
        <v>259</v>
      </c>
      <c r="F73" s="20"/>
      <c r="G73" s="146" t="s">
        <v>22</v>
      </c>
      <c r="H73" s="173" t="n">
        <v>6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18</v>
      </c>
      <c r="I74" s="154" t="n">
        <v>4</v>
      </c>
      <c r="J74" s="154" t="n">
        <v>4</v>
      </c>
      <c r="K74" s="155" t="n">
        <v>4256.4</v>
      </c>
      <c r="L74" s="155" t="n">
        <f aca="false">M74+N74</f>
        <v>0</v>
      </c>
      <c r="M74" s="155"/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1691.52</v>
      </c>
      <c r="M75" s="161" t="n">
        <v>1691.52</v>
      </c>
      <c r="N75" s="190"/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1</v>
      </c>
      <c r="J76" s="165" t="n">
        <v>1</v>
      </c>
      <c r="K76" s="166" t="n">
        <v>704.8</v>
      </c>
      <c r="L76" s="166" t="n">
        <f aca="false">M76+N76</f>
        <v>0</v>
      </c>
      <c r="M76" s="166"/>
      <c r="N76" s="156"/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3</v>
      </c>
      <c r="I77" s="148"/>
      <c r="J77" s="148"/>
      <c r="K77" s="149"/>
      <c r="L77" s="149" t="n">
        <f aca="false">M77+N77</f>
        <v>0</v>
      </c>
      <c r="M77" s="149"/>
      <c r="N77" s="190"/>
      <c r="O77" s="151" t="n">
        <v>7</v>
      </c>
      <c r="P77" s="149" t="n">
        <v>16379.75</v>
      </c>
      <c r="Q77" s="149" t="n">
        <f aca="false">R77+S77</f>
        <v>8726.55</v>
      </c>
      <c r="R77" s="149" t="n">
        <v>8726.55</v>
      </c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1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5</v>
      </c>
      <c r="I81" s="148" t="n">
        <v>2</v>
      </c>
      <c r="J81" s="148" t="n">
        <v>2</v>
      </c>
      <c r="K81" s="149" t="n">
        <v>1573.47</v>
      </c>
      <c r="L81" s="149" t="n">
        <f aca="false">M81+N81</f>
        <v>1573.47</v>
      </c>
      <c r="M81" s="149" t="n">
        <v>704.8</v>
      </c>
      <c r="N81" s="190" t="n">
        <v>868.67</v>
      </c>
      <c r="O81" s="151" t="n">
        <v>5</v>
      </c>
      <c r="P81" s="149" t="n">
        <v>14207.76</v>
      </c>
      <c r="Q81" s="149" t="n">
        <f aca="false">R81+S81</f>
        <v>8219.9</v>
      </c>
      <c r="R81" s="149" t="n">
        <v>4384.96</v>
      </c>
      <c r="S81" s="190" t="n">
        <v>3834.94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30</v>
      </c>
      <c r="I82" s="165" t="n">
        <v>15</v>
      </c>
      <c r="J82" s="165" t="n">
        <v>15</v>
      </c>
      <c r="K82" s="166" t="n">
        <v>17196.2</v>
      </c>
      <c r="L82" s="166" t="n">
        <v>0</v>
      </c>
      <c r="M82" s="166" t="n">
        <v>0</v>
      </c>
      <c r="N82" s="156"/>
      <c r="O82" s="168" t="n">
        <v>23</v>
      </c>
      <c r="P82" s="166" t="n">
        <v>55900.62</v>
      </c>
      <c r="Q82" s="166" t="n">
        <v>9955.3</v>
      </c>
      <c r="R82" s="166" t="n">
        <v>9955.3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3</v>
      </c>
      <c r="I83" s="148" t="n">
        <v>1</v>
      </c>
      <c r="J83" s="148" t="n">
        <v>2</v>
      </c>
      <c r="K83" s="149" t="n">
        <v>4177.7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5</v>
      </c>
      <c r="I84" s="165" t="n">
        <v>1</v>
      </c>
      <c r="J84" s="165" t="n">
        <v>1</v>
      </c>
      <c r="K84" s="166" t="n">
        <v>2290.6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5</v>
      </c>
      <c r="I85" s="148" t="n">
        <v>2</v>
      </c>
      <c r="J85" s="148" t="n">
        <v>2</v>
      </c>
      <c r="K85" s="149" t="n">
        <v>4105.29</v>
      </c>
      <c r="L85" s="149" t="n">
        <f aca="false">M85+N85</f>
        <v>888.19</v>
      </c>
      <c r="M85" s="149"/>
      <c r="N85" s="190" t="n">
        <v>888.19</v>
      </c>
      <c r="O85" s="151" t="n">
        <v>12</v>
      </c>
      <c r="P85" s="149" t="n">
        <v>21614.18</v>
      </c>
      <c r="Q85" s="149" t="n">
        <f aca="false">R85+S85</f>
        <v>19442.54</v>
      </c>
      <c r="R85" s="149" t="n">
        <v>3419.21</v>
      </c>
      <c r="S85" s="190" t="n">
        <v>16023.33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2</v>
      </c>
      <c r="I86" s="154" t="n">
        <v>1</v>
      </c>
      <c r="J86" s="154" t="n">
        <v>1</v>
      </c>
      <c r="K86" s="235" t="n">
        <v>2718.2</v>
      </c>
      <c r="L86" s="155" t="n">
        <f aca="false">M86+N86</f>
        <v>0</v>
      </c>
      <c r="M86" s="155"/>
      <c r="N86" s="156"/>
      <c r="O86" s="157"/>
      <c r="P86" s="155" t="n">
        <v>5462.2</v>
      </c>
      <c r="Q86" s="155" t="n">
        <f aca="false">R86+S86</f>
        <v>0</v>
      </c>
      <c r="R86" s="155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5521.12</v>
      </c>
      <c r="R87" s="161"/>
      <c r="S87" s="190" t="n">
        <v>5521.12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4</v>
      </c>
      <c r="I88" s="154" t="n">
        <v>1</v>
      </c>
      <c r="J88" s="154" t="n">
        <v>1</v>
      </c>
      <c r="K88" s="155" t="n">
        <v>1409.6</v>
      </c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2848.8</v>
      </c>
      <c r="L89" s="161" t="n">
        <f aca="false">M89+N89</f>
        <v>0</v>
      </c>
      <c r="M89" s="161"/>
      <c r="N89" s="190"/>
      <c r="O89" s="163" t="n">
        <v>3</v>
      </c>
      <c r="P89" s="161" t="n">
        <v>27324.13</v>
      </c>
      <c r="Q89" s="161" t="n">
        <f aca="false">R89+S89</f>
        <v>21210.6</v>
      </c>
      <c r="R89" s="161"/>
      <c r="S89" s="190" t="n">
        <v>21210.6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 t="n">
        <v>1</v>
      </c>
      <c r="J90" s="165" t="n">
        <v>1</v>
      </c>
      <c r="K90" s="166" t="n">
        <v>704.8</v>
      </c>
      <c r="L90" s="161" t="n">
        <f aca="false">M90+N90</f>
        <v>0</v>
      </c>
      <c r="M90" s="166" t="n">
        <v>0</v>
      </c>
      <c r="N90" s="156"/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8641.68</f>
        <v>8641.68</v>
      </c>
      <c r="S90" s="156" t="n">
        <f aca="false">3347.8</f>
        <v>3347.8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4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2277.26</v>
      </c>
      <c r="M91" s="149" t="n">
        <v>1395.5</v>
      </c>
      <c r="N91" s="190" t="n">
        <v>881.76</v>
      </c>
      <c r="O91" s="151" t="n">
        <v>2</v>
      </c>
      <c r="P91" s="149" t="n">
        <v>3239.04</v>
      </c>
      <c r="Q91" s="149" t="n">
        <f aca="false">R91+S91</f>
        <v>3239.04</v>
      </c>
      <c r="R91" s="149" t="n">
        <v>3239.04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3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/>
      <c r="N92" s="156" t="n">
        <v>5109.8</v>
      </c>
      <c r="O92" s="157" t="n">
        <v>1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20</v>
      </c>
      <c r="I93" s="160" t="n">
        <v>14</v>
      </c>
      <c r="J93" s="160" t="n">
        <v>15</v>
      </c>
      <c r="K93" s="161" t="n">
        <v>20159.67</v>
      </c>
      <c r="L93" s="161" t="n">
        <f aca="false">M93+N93</f>
        <v>10561.52</v>
      </c>
      <c r="M93" s="161"/>
      <c r="N93" s="190" t="n">
        <v>10561.52</v>
      </c>
      <c r="O93" s="163" t="n">
        <v>21</v>
      </c>
      <c r="P93" s="161" t="n">
        <v>46869.6</v>
      </c>
      <c r="Q93" s="161" t="n">
        <f aca="false">R93+S93</f>
        <v>40347.41</v>
      </c>
      <c r="R93" s="161"/>
      <c r="S93" s="190" t="n">
        <v>40347.41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8898.1</v>
      </c>
      <c r="R94" s="166"/>
      <c r="S94" s="156" t="n">
        <f aca="false">8898.1</f>
        <v>8898.1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10</v>
      </c>
      <c r="I95" s="148" t="n">
        <v>9</v>
      </c>
      <c r="J95" s="148" t="n">
        <v>9</v>
      </c>
      <c r="K95" s="149" t="n">
        <v>5563.84</v>
      </c>
      <c r="L95" s="149" t="n">
        <f aca="false">M95+N95</f>
        <v>599.08</v>
      </c>
      <c r="M95" s="149" t="n">
        <v>599.08</v>
      </c>
      <c r="N95" s="190"/>
      <c r="O95" s="151" t="n">
        <v>2</v>
      </c>
      <c r="P95" s="149" t="n">
        <v>12380.09</v>
      </c>
      <c r="Q95" s="149" t="n">
        <f aca="false">R95+S95</f>
        <v>3600.4</v>
      </c>
      <c r="R95" s="149" t="n">
        <v>3600.4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6</v>
      </c>
      <c r="P96" s="166" t="n">
        <v>8457.6</v>
      </c>
      <c r="Q96" s="166" t="n">
        <f aca="false">R96+S96</f>
        <v>6167</v>
      </c>
      <c r="R96" s="166"/>
      <c r="S96" s="156" t="n">
        <v>6167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8</v>
      </c>
      <c r="I97" s="148" t="n">
        <v>7</v>
      </c>
      <c r="J97" s="148" t="n">
        <v>7</v>
      </c>
      <c r="K97" s="149" t="n">
        <v>4148.63</v>
      </c>
      <c r="L97" s="149" t="n">
        <f aca="false">M97+N97</f>
        <v>2293.24</v>
      </c>
      <c r="M97" s="149" t="n">
        <v>2293.24</v>
      </c>
      <c r="N97" s="190"/>
      <c r="O97" s="151" t="n">
        <v>5</v>
      </c>
      <c r="P97" s="149" t="n">
        <v>9285.74</v>
      </c>
      <c r="Q97" s="149" t="n">
        <f aca="false">R97+S97</f>
        <v>1673.9</v>
      </c>
      <c r="R97" s="149" t="n">
        <v>1673.9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2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6</v>
      </c>
      <c r="P98" s="182" t="n">
        <v>19029.6</v>
      </c>
      <c r="Q98" s="182" t="n">
        <f aca="false">R98+S98</f>
        <v>5638.4</v>
      </c>
      <c r="R98" s="182" t="n">
        <f aca="false">1057.2+2290.6</f>
        <v>3347.8</v>
      </c>
      <c r="S98" s="167" t="n">
        <v>2290.6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 t="n">
        <v>1</v>
      </c>
      <c r="J99" s="154" t="n">
        <v>1</v>
      </c>
      <c r="K99" s="155" t="n">
        <v>1585.8</v>
      </c>
      <c r="L99" s="155" t="n">
        <f aca="false">M99+N99</f>
        <v>0</v>
      </c>
      <c r="M99" s="155"/>
      <c r="N99" s="156"/>
      <c r="O99" s="157" t="n">
        <v>5</v>
      </c>
      <c r="P99" s="155" t="n">
        <v>8281.4</v>
      </c>
      <c r="Q99" s="155" t="n">
        <v>3524</v>
      </c>
      <c r="R99" s="155" t="n">
        <v>3524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5452.69</v>
      </c>
      <c r="M100" s="161" t="n">
        <v>5452.69</v>
      </c>
      <c r="N100" s="190"/>
      <c r="O100" s="163" t="n">
        <v>7</v>
      </c>
      <c r="P100" s="161" t="n">
        <v>34500.95</v>
      </c>
      <c r="Q100" s="161" t="n">
        <f aca="false">R100+S100</f>
        <v>29718.63</v>
      </c>
      <c r="R100" s="161" t="n">
        <v>29718.63</v>
      </c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5</v>
      </c>
      <c r="I102" s="148" t="n">
        <v>1</v>
      </c>
      <c r="J102" s="148" t="n">
        <v>1</v>
      </c>
      <c r="K102" s="149" t="n">
        <v>3473.61</v>
      </c>
      <c r="L102" s="149" t="n">
        <f aca="false">M102+N102</f>
        <v>3473.61</v>
      </c>
      <c r="M102" s="149" t="n">
        <v>3473.61</v>
      </c>
      <c r="N102" s="190"/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2195.46</v>
      </c>
      <c r="M104" s="149" t="n">
        <v>2195.46</v>
      </c>
      <c r="N104" s="190"/>
      <c r="O104" s="151" t="n">
        <v>2</v>
      </c>
      <c r="P104" s="149" t="n">
        <v>8372.97</v>
      </c>
      <c r="Q104" s="149" t="n">
        <f aca="false">R104+S104</f>
        <v>1321.5</v>
      </c>
      <c r="R104" s="149" t="n">
        <v>1321.5</v>
      </c>
      <c r="S104" s="19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/>
      <c r="J105" s="165"/>
      <c r="K105" s="166"/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8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704.8</v>
      </c>
      <c r="M108" s="161" t="n">
        <v>704.8</v>
      </c>
      <c r="N108" s="190"/>
      <c r="O108" s="163" t="n">
        <v>2</v>
      </c>
      <c r="P108" s="161" t="n">
        <v>5828.06</v>
      </c>
      <c r="Q108" s="161" t="n">
        <f aca="false">R108+S108</f>
        <v>5828.06</v>
      </c>
      <c r="R108" s="161" t="n">
        <v>5828.06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2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18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1569.94</v>
      </c>
      <c r="M110" s="161" t="n">
        <v>1569.94</v>
      </c>
      <c r="N110" s="190"/>
      <c r="O110" s="163" t="n">
        <v>20</v>
      </c>
      <c r="P110" s="161" t="n">
        <v>33342.82</v>
      </c>
      <c r="Q110" s="161" t="n">
        <f aca="false">R110+S110</f>
        <v>24550.45</v>
      </c>
      <c r="R110" s="161" t="n">
        <v>24550.45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 t="n">
        <v>1</v>
      </c>
      <c r="J112" s="148" t="n">
        <v>1</v>
      </c>
      <c r="K112" s="149" t="n">
        <v>528.6</v>
      </c>
      <c r="L112" s="149" t="n">
        <f aca="false">M112+N112</f>
        <v>0</v>
      </c>
      <c r="M112" s="149"/>
      <c r="N112" s="190"/>
      <c r="O112" s="151" t="n">
        <v>1</v>
      </c>
      <c r="P112" s="149" t="n">
        <v>1162.92</v>
      </c>
      <c r="Q112" s="149" t="n">
        <f aca="false">R112+S112</f>
        <v>0</v>
      </c>
      <c r="R112" s="149"/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16</v>
      </c>
      <c r="I114" s="148" t="n">
        <v>12</v>
      </c>
      <c r="J114" s="148" t="n">
        <v>13</v>
      </c>
      <c r="K114" s="149" t="n">
        <v>11971.66</v>
      </c>
      <c r="L114" s="149" t="n">
        <f aca="false">M114+N114</f>
        <v>6747.33</v>
      </c>
      <c r="M114" s="149" t="n">
        <v>6747.33</v>
      </c>
      <c r="N114" s="190"/>
      <c r="O114" s="151" t="n">
        <v>14</v>
      </c>
      <c r="P114" s="149" t="n">
        <v>18427.1</v>
      </c>
      <c r="Q114" s="149" t="n">
        <f aca="false">R114+S114</f>
        <v>8224.14</v>
      </c>
      <c r="R114" s="149" t="n">
        <v>8224.14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15</v>
      </c>
      <c r="I115" s="165" t="n">
        <v>5</v>
      </c>
      <c r="J115" s="165" t="n">
        <v>5</v>
      </c>
      <c r="K115" s="166" t="n">
        <v>7048</v>
      </c>
      <c r="L115" s="166" t="n">
        <v>2995.4</v>
      </c>
      <c r="M115" s="166" t="n">
        <v>2995.4</v>
      </c>
      <c r="N115" s="156"/>
      <c r="O115" s="168" t="n">
        <v>9</v>
      </c>
      <c r="P115" s="166" t="n">
        <v>22817.9</v>
      </c>
      <c r="Q115" s="166" t="n">
        <v>6255.1</v>
      </c>
      <c r="R115" s="166" t="n">
        <v>6255.1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16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8527.08</v>
      </c>
      <c r="M116" s="149"/>
      <c r="N116" s="190" t="n">
        <v>8527.08</v>
      </c>
      <c r="O116" s="151" t="n">
        <v>14</v>
      </c>
      <c r="P116" s="149" t="n">
        <v>48557.24</v>
      </c>
      <c r="Q116" s="149" t="n">
        <f aca="false">R116+S116</f>
        <v>24491.76</v>
      </c>
      <c r="R116" s="149" t="n">
        <v>14024.79</v>
      </c>
      <c r="S116" s="190" t="n">
        <v>10466.97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17</v>
      </c>
      <c r="I118" s="160" t="n">
        <v>3</v>
      </c>
      <c r="J118" s="160" t="n">
        <v>3</v>
      </c>
      <c r="K118" s="161" t="n">
        <v>4915.98</v>
      </c>
      <c r="L118" s="161" t="n">
        <f aca="false">M118+N118</f>
        <v>3805.92</v>
      </c>
      <c r="M118" s="161" t="n">
        <v>3805.92</v>
      </c>
      <c r="N118" s="190"/>
      <c r="O118" s="163" t="n">
        <v>8</v>
      </c>
      <c r="P118" s="161" t="n">
        <v>55873.9</v>
      </c>
      <c r="Q118" s="161" t="n">
        <f aca="false">R118+S118</f>
        <v>27118.06</v>
      </c>
      <c r="R118" s="161" t="n">
        <v>27118.06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1</v>
      </c>
      <c r="K120" s="166" t="n">
        <v>2290.6</v>
      </c>
      <c r="L120" s="166" t="n">
        <f aca="false">M120+N120</f>
        <v>2290.6</v>
      </c>
      <c r="M120" s="166" t="n">
        <v>2266.65</v>
      </c>
      <c r="N120" s="156" t="n">
        <v>23.95</v>
      </c>
      <c r="O120" s="168" t="n">
        <v>6</v>
      </c>
      <c r="P120" s="166" t="n">
        <v>29143.12</v>
      </c>
      <c r="Q120" s="166" t="n">
        <f aca="false">R120+S120</f>
        <v>29167.43</v>
      </c>
      <c r="R120" s="166" t="n">
        <v>29167.43</v>
      </c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2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4</v>
      </c>
      <c r="J123" s="160" t="n">
        <v>5</v>
      </c>
      <c r="K123" s="161" t="n">
        <v>4189.07</v>
      </c>
      <c r="L123" s="161" t="n">
        <f aca="false">M123+N123</f>
        <v>1436.03</v>
      </c>
      <c r="M123" s="161" t="n">
        <v>563.84</v>
      </c>
      <c r="N123" s="190" t="n">
        <v>872.19</v>
      </c>
      <c r="O123" s="163" t="n">
        <v>7</v>
      </c>
      <c r="P123" s="161" t="n">
        <v>19910.92</v>
      </c>
      <c r="Q123" s="161" t="n">
        <f aca="false">R123+S123</f>
        <v>7694.53</v>
      </c>
      <c r="R123" s="161" t="n">
        <v>3894.06</v>
      </c>
      <c r="S123" s="190" t="n">
        <v>3800.47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10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2</v>
      </c>
      <c r="P124" s="155" t="n">
        <v>6871.8</v>
      </c>
      <c r="Q124" s="155" t="n">
        <f aca="false">R124+S124</f>
        <v>1585.8</v>
      </c>
      <c r="R124" s="155"/>
      <c r="S124" s="156" t="n">
        <v>1585.8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4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1569.94</v>
      </c>
      <c r="M127" s="149" t="n">
        <v>1569.94</v>
      </c>
      <c r="N127" s="190"/>
      <c r="O127" s="151" t="n">
        <v>6</v>
      </c>
      <c r="P127" s="149" t="n">
        <v>19174.92</v>
      </c>
      <c r="Q127" s="149" t="n">
        <f aca="false">R127+S127</f>
        <v>14088.14</v>
      </c>
      <c r="R127" s="149" t="n">
        <v>14088.14</v>
      </c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9</v>
      </c>
      <c r="I128" s="165" t="n">
        <v>6</v>
      </c>
      <c r="J128" s="165" t="n">
        <v>6</v>
      </c>
      <c r="K128" s="166" t="n">
        <v>3171.6</v>
      </c>
      <c r="L128" s="166" t="n">
        <v>1409.6</v>
      </c>
      <c r="M128" s="166" t="n">
        <v>1409.6</v>
      </c>
      <c r="N128" s="156"/>
      <c r="O128" s="168" t="n">
        <v>9</v>
      </c>
      <c r="P128" s="166" t="n">
        <v>24491.8</v>
      </c>
      <c r="Q128" s="166" t="n">
        <v>1233.4</v>
      </c>
      <c r="R128" s="166" t="n">
        <v>1233.4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9</v>
      </c>
      <c r="I129" s="148" t="n">
        <v>6</v>
      </c>
      <c r="J129" s="148" t="n">
        <v>7</v>
      </c>
      <c r="K129" s="149" t="n">
        <v>14834.62</v>
      </c>
      <c r="L129" s="149" t="n">
        <f aca="false">M129+N129</f>
        <v>6364.34</v>
      </c>
      <c r="M129" s="149" t="n">
        <v>6364.34</v>
      </c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9</v>
      </c>
      <c r="I130" s="188" t="n">
        <v>2</v>
      </c>
      <c r="J130" s="188" t="n">
        <v>2</v>
      </c>
      <c r="K130" s="189" t="n">
        <v>1409.6</v>
      </c>
      <c r="L130" s="189" t="n">
        <f aca="false">M130+N130</f>
        <v>0</v>
      </c>
      <c r="M130" s="189"/>
      <c r="N130" s="167"/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4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 t="n">
        <v>1</v>
      </c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19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2378.7</v>
      </c>
      <c r="M134" s="161" t="n">
        <v>2378.7</v>
      </c>
      <c r="N134" s="190"/>
      <c r="O134" s="163" t="n">
        <v>19</v>
      </c>
      <c r="P134" s="161" t="n">
        <v>27295.59</v>
      </c>
      <c r="Q134" s="161" t="n">
        <f aca="false">R134+S134</f>
        <v>13947.56</v>
      </c>
      <c r="R134" s="161" t="n">
        <v>13947.56</v>
      </c>
      <c r="S134" s="190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7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0</v>
      </c>
      <c r="M135" s="182"/>
      <c r="N135" s="167"/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2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0</v>
      </c>
      <c r="M137" s="149"/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12</v>
      </c>
      <c r="I139" s="160" t="n">
        <v>11</v>
      </c>
      <c r="J139" s="160" t="n">
        <v>11</v>
      </c>
      <c r="K139" s="161" t="n">
        <v>14378.92</v>
      </c>
      <c r="L139" s="161" t="n">
        <f aca="false">M139+N139</f>
        <v>1057.2</v>
      </c>
      <c r="M139" s="161" t="n">
        <v>1057.2</v>
      </c>
      <c r="N139" s="190"/>
      <c r="O139" s="163" t="n">
        <v>6</v>
      </c>
      <c r="P139" s="161" t="n">
        <v>20530.3</v>
      </c>
      <c r="Q139" s="161" t="n">
        <f aca="false">R139+S139</f>
        <v>7521.1</v>
      </c>
      <c r="R139" s="161" t="n">
        <v>7521.1</v>
      </c>
      <c r="S139" s="190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0</v>
      </c>
      <c r="M140" s="166"/>
      <c r="N140" s="156"/>
      <c r="O140" s="168" t="n">
        <v>2</v>
      </c>
      <c r="P140" s="166" t="n">
        <v>5286</v>
      </c>
      <c r="Q140" s="166" t="n">
        <f aca="false">R140+S140</f>
        <v>4405</v>
      </c>
      <c r="R140" s="166"/>
      <c r="S140" s="156" t="n">
        <v>4405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0</v>
      </c>
      <c r="M141" s="149"/>
      <c r="N141" s="190"/>
      <c r="O141" s="151" t="n">
        <v>5</v>
      </c>
      <c r="P141" s="149" t="n">
        <v>20672.92</v>
      </c>
      <c r="Q141" s="149" t="n">
        <f aca="false">R141+S141</f>
        <v>10162.24</v>
      </c>
      <c r="R141" s="149" t="n">
        <v>10162.24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/>
      <c r="S142" s="156" t="n">
        <v>2290.6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/>
      <c r="P143" s="161"/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26" t="s">
        <v>281</v>
      </c>
      <c r="G144" s="152" t="s">
        <v>26</v>
      </c>
      <c r="H144" s="153"/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/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14967.24</v>
      </c>
      <c r="R145" s="161" t="n">
        <v>7780.05</v>
      </c>
      <c r="S145" s="190" t="n">
        <v>7187.19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2643</v>
      </c>
      <c r="R146" s="166" t="n">
        <f aca="false">881</f>
        <v>881</v>
      </c>
      <c r="S146" s="156" t="n">
        <v>1762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7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1895.47</v>
      </c>
      <c r="M147" s="149"/>
      <c r="N147" s="190" t="n">
        <v>1895.47</v>
      </c>
      <c r="O147" s="151" t="n">
        <v>17</v>
      </c>
      <c r="P147" s="149" t="n">
        <v>40409.38</v>
      </c>
      <c r="Q147" s="149" t="n">
        <f aca="false">R147+S147</f>
        <v>22194.99</v>
      </c>
      <c r="R147" s="149" t="n">
        <v>3347.8</v>
      </c>
      <c r="S147" s="190" t="n">
        <v>18847.19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9</v>
      </c>
      <c r="I148" s="165" t="n">
        <v>5</v>
      </c>
      <c r="J148" s="165" t="n">
        <v>5</v>
      </c>
      <c r="K148" s="166" t="n">
        <v>20333.48</v>
      </c>
      <c r="L148" s="166" t="n">
        <f aca="false">M148+N148</f>
        <v>0</v>
      </c>
      <c r="M148" s="166"/>
      <c r="N148" s="156"/>
      <c r="O148" s="157" t="n">
        <v>9</v>
      </c>
      <c r="P148" s="155" t="n">
        <v>30218.3</v>
      </c>
      <c r="Q148" s="155" t="n">
        <f aca="false">R148+S148</f>
        <v>17866.68</v>
      </c>
      <c r="R148" s="155" t="n">
        <v>15329.4</v>
      </c>
      <c r="S148" s="156" t="n">
        <v>2537.28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18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9291.07</v>
      </c>
      <c r="M149" s="149" t="n">
        <v>1494.18</v>
      </c>
      <c r="N149" s="190" t="n">
        <v>7796.89</v>
      </c>
      <c r="O149" s="163" t="n">
        <v>13</v>
      </c>
      <c r="P149" s="161" t="n">
        <v>44245.85</v>
      </c>
      <c r="Q149" s="161" t="n">
        <f aca="false">R149+S149</f>
        <v>19724.71</v>
      </c>
      <c r="R149" s="161" t="n">
        <v>8854.81</v>
      </c>
      <c r="S149" s="190" t="n">
        <v>10869.9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196</v>
      </c>
      <c r="G150" s="164" t="s">
        <v>26</v>
      </c>
      <c r="H150" s="175" t="n">
        <v>2</v>
      </c>
      <c r="I150" s="165" t="n">
        <v>1</v>
      </c>
      <c r="J150" s="165" t="n">
        <v>0</v>
      </c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240" t="s">
        <v>282</v>
      </c>
      <c r="C151" s="19" t="s">
        <v>33</v>
      </c>
      <c r="D151" s="19" t="s">
        <v>283</v>
      </c>
      <c r="E151" s="19" t="s">
        <v>284</v>
      </c>
      <c r="F151" s="20"/>
      <c r="G151" s="146" t="s">
        <v>22</v>
      </c>
      <c r="H151" s="173"/>
      <c r="I151" s="148"/>
      <c r="J151" s="148"/>
      <c r="K151" s="241"/>
      <c r="L151" s="241" t="n">
        <f aca="false">M151+N151</f>
        <v>0</v>
      </c>
      <c r="M151" s="241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240"/>
      <c r="C152" s="19"/>
      <c r="D152" s="19"/>
      <c r="E152" s="19"/>
      <c r="F152" s="26" t="s">
        <v>285</v>
      </c>
      <c r="G152" s="152" t="s">
        <v>23</v>
      </c>
      <c r="H152" s="174" t="n">
        <v>2</v>
      </c>
      <c r="I152" s="154"/>
      <c r="J152" s="154"/>
      <c r="K152" s="242"/>
      <c r="L152" s="242" t="n">
        <f aca="false">M152+N152</f>
        <v>0</v>
      </c>
      <c r="M152" s="242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112</v>
      </c>
      <c r="C153" s="35" t="s">
        <v>20</v>
      </c>
      <c r="D153" s="35" t="s">
        <v>197</v>
      </c>
      <c r="E153" s="35" t="s">
        <v>25</v>
      </c>
      <c r="F153" s="36"/>
      <c r="G153" s="158" t="s">
        <v>22</v>
      </c>
      <c r="H153" s="159" t="n">
        <v>7</v>
      </c>
      <c r="I153" s="160" t="n">
        <v>6</v>
      </c>
      <c r="J153" s="160" t="n">
        <v>7</v>
      </c>
      <c r="K153" s="140" t="n">
        <v>23292.74</v>
      </c>
      <c r="L153" s="140" t="n">
        <f aca="false">M153+N153</f>
        <v>9984.81</v>
      </c>
      <c r="M153" s="140" t="n">
        <v>1162.92</v>
      </c>
      <c r="N153" s="190" t="n">
        <v>8821.89</v>
      </c>
      <c r="O153" s="163" t="n">
        <v>4</v>
      </c>
      <c r="P153" s="161" t="n">
        <v>20244.62</v>
      </c>
      <c r="Q153" s="161" t="n">
        <f aca="false">R153+S153</f>
        <v>1198.16</v>
      </c>
      <c r="R153" s="161"/>
      <c r="S153" s="190" t="n">
        <v>1198.16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26" t="s">
        <v>198</v>
      </c>
      <c r="G154" s="152" t="s">
        <v>26</v>
      </c>
      <c r="H154" s="171" t="n">
        <v>2</v>
      </c>
      <c r="I154" s="165"/>
      <c r="J154" s="165"/>
      <c r="K154" s="166"/>
      <c r="L154" s="166" t="n">
        <f aca="false">M154+N154</f>
        <v>0</v>
      </c>
      <c r="M154" s="166"/>
      <c r="N154" s="156"/>
      <c r="O154" s="168" t="n">
        <v>1</v>
      </c>
      <c r="P154" s="166" t="n">
        <v>2114.4</v>
      </c>
      <c r="Q154" s="166" t="n">
        <f aca="false">R154+S154</f>
        <v>2114.4</v>
      </c>
      <c r="R154" s="166"/>
      <c r="S154" s="156" t="n">
        <v>2114.4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113</v>
      </c>
      <c r="C155" s="19" t="s">
        <v>20</v>
      </c>
      <c r="D155" s="19"/>
      <c r="E155" s="19" t="s">
        <v>31</v>
      </c>
      <c r="F155" s="36"/>
      <c r="G155" s="146" t="s">
        <v>22</v>
      </c>
      <c r="H155" s="159" t="n">
        <v>8</v>
      </c>
      <c r="I155" s="148" t="n">
        <v>3</v>
      </c>
      <c r="J155" s="148" t="n">
        <v>4</v>
      </c>
      <c r="K155" s="149" t="n">
        <v>7903.02</v>
      </c>
      <c r="L155" s="149" t="n">
        <f aca="false">M155+N155</f>
        <v>4858.85</v>
      </c>
      <c r="M155" s="149" t="n">
        <v>4858.85</v>
      </c>
      <c r="N155" s="190"/>
      <c r="O155" s="151" t="n">
        <v>5</v>
      </c>
      <c r="P155" s="149" t="n">
        <v>6770.34</v>
      </c>
      <c r="Q155" s="149" t="n">
        <f aca="false">R155+S155</f>
        <v>3839.24</v>
      </c>
      <c r="R155" s="149" t="n">
        <v>3839.24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152" t="s">
        <v>26</v>
      </c>
      <c r="H156" s="153"/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114</v>
      </c>
      <c r="C157" s="35" t="s">
        <v>20</v>
      </c>
      <c r="D157" s="95"/>
      <c r="E157" s="35" t="s">
        <v>25</v>
      </c>
      <c r="F157" s="71"/>
      <c r="G157" s="146" t="s">
        <v>22</v>
      </c>
      <c r="H157" s="169" t="n">
        <v>1</v>
      </c>
      <c r="I157" s="160"/>
      <c r="J157" s="160"/>
      <c r="K157" s="161"/>
      <c r="L157" s="161" t="n">
        <f aca="false">M157+N157</f>
        <v>0</v>
      </c>
      <c r="M157" s="161"/>
      <c r="N157" s="190"/>
      <c r="O157" s="163" t="n">
        <v>3</v>
      </c>
      <c r="P157" s="161" t="n">
        <v>4574.09</v>
      </c>
      <c r="Q157" s="161" t="n">
        <f aca="false">R157+S157</f>
        <v>0</v>
      </c>
      <c r="R157" s="161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274</v>
      </c>
      <c r="G158" s="164" t="s">
        <v>26</v>
      </c>
      <c r="H158" s="175" t="n">
        <v>2</v>
      </c>
      <c r="I158" s="165" t="n">
        <v>1</v>
      </c>
      <c r="J158" s="165" t="n">
        <v>1</v>
      </c>
      <c r="K158" s="166" t="n">
        <v>2947.54</v>
      </c>
      <c r="L158" s="166" t="n">
        <f aca="false">M158+N158</f>
        <v>0</v>
      </c>
      <c r="M158" s="166"/>
      <c r="N158" s="156"/>
      <c r="O158" s="168"/>
      <c r="P158" s="166"/>
      <c r="Q158" s="166" t="n">
        <f aca="false">R158+S158</f>
        <v>0</v>
      </c>
      <c r="R158" s="166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243</v>
      </c>
      <c r="C159" s="219"/>
      <c r="D159" s="19"/>
      <c r="E159" s="19"/>
      <c r="F159" s="20"/>
      <c r="G159" s="146" t="s">
        <v>22</v>
      </c>
      <c r="H159" s="173" t="s">
        <v>151</v>
      </c>
      <c r="I159" s="148"/>
      <c r="J159" s="148"/>
      <c r="K159" s="149"/>
      <c r="L159" s="149" t="n">
        <f aca="false">M159+N159</f>
        <v>0</v>
      </c>
      <c r="M159" s="149"/>
      <c r="N159" s="190"/>
      <c r="O159" s="206"/>
      <c r="P159" s="149"/>
      <c r="Q159" s="149" t="n">
        <f aca="false">R159+S159</f>
        <v>0</v>
      </c>
      <c r="R159" s="149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26" t="s">
        <v>275</v>
      </c>
      <c r="G160" s="152" t="s">
        <v>26</v>
      </c>
      <c r="H160" s="174" t="n">
        <v>4</v>
      </c>
      <c r="I160" s="154" t="n">
        <v>1</v>
      </c>
      <c r="J160" s="154" t="n">
        <v>1</v>
      </c>
      <c r="K160" s="155" t="n">
        <v>528.6</v>
      </c>
      <c r="L160" s="155" t="n">
        <f aca="false">M160+N160</f>
        <v>0</v>
      </c>
      <c r="M160" s="155"/>
      <c r="N160" s="156"/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200</v>
      </c>
      <c r="C161" s="220"/>
      <c r="D161" s="56"/>
      <c r="E161" s="56"/>
      <c r="F161" s="36"/>
      <c r="G161" s="158" t="s">
        <v>22</v>
      </c>
      <c r="H161" s="159" t="n">
        <v>19</v>
      </c>
      <c r="I161" s="160" t="n">
        <v>17</v>
      </c>
      <c r="J161" s="160" t="n">
        <v>17</v>
      </c>
      <c r="K161" s="161" t="n">
        <v>14194.33</v>
      </c>
      <c r="L161" s="161" t="n">
        <f aca="false">M161+N161</f>
        <v>4517.24</v>
      </c>
      <c r="M161" s="161"/>
      <c r="N161" s="190" t="n">
        <v>4517.24</v>
      </c>
      <c r="O161" s="163"/>
      <c r="P161" s="161"/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57"/>
      <c r="G162" s="152" t="s">
        <v>26</v>
      </c>
      <c r="H162" s="174" t="n">
        <v>4</v>
      </c>
      <c r="I162" s="154" t="n">
        <v>3</v>
      </c>
      <c r="J162" s="154" t="n">
        <v>3</v>
      </c>
      <c r="K162" s="155" t="n">
        <v>4757.4</v>
      </c>
      <c r="L162" s="155" t="n">
        <f aca="false">M162+N162</f>
        <v>0</v>
      </c>
      <c r="M162" s="155"/>
      <c r="N162" s="156"/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115</v>
      </c>
      <c r="C163" s="56" t="s">
        <v>20</v>
      </c>
      <c r="D163" s="56"/>
      <c r="E163" s="56" t="s">
        <v>116</v>
      </c>
      <c r="F163" s="36"/>
      <c r="G163" s="158" t="s">
        <v>22</v>
      </c>
      <c r="H163" s="159" t="n">
        <v>10</v>
      </c>
      <c r="I163" s="160" t="n">
        <v>6</v>
      </c>
      <c r="J163" s="160" t="n">
        <v>7</v>
      </c>
      <c r="K163" s="161" t="n">
        <v>5806.68</v>
      </c>
      <c r="L163" s="161" t="n">
        <f aca="false">M163+N163</f>
        <v>2886.16</v>
      </c>
      <c r="M163" s="161" t="n">
        <v>264.3</v>
      </c>
      <c r="N163" s="190" t="n">
        <v>2621.86</v>
      </c>
      <c r="O163" s="163" t="n">
        <v>12</v>
      </c>
      <c r="P163" s="161" t="n">
        <v>9385.29</v>
      </c>
      <c r="Q163" s="161" t="n">
        <f aca="false">R163+S163</f>
        <v>6775.76</v>
      </c>
      <c r="R163" s="161" t="n">
        <v>4414.68</v>
      </c>
      <c r="S163" s="190" t="n">
        <v>2361.08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42" t="s">
        <v>201</v>
      </c>
      <c r="G164" s="164" t="s">
        <v>26</v>
      </c>
      <c r="H164" s="172" t="n">
        <v>8</v>
      </c>
      <c r="I164" s="165" t="n">
        <v>2</v>
      </c>
      <c r="J164" s="165" t="n">
        <v>2</v>
      </c>
      <c r="K164" s="166" t="n">
        <v>5990.8</v>
      </c>
      <c r="L164" s="161" t="n">
        <f aca="false">M164+N164</f>
        <v>0</v>
      </c>
      <c r="M164" s="166"/>
      <c r="N164" s="156"/>
      <c r="O164" s="168" t="n">
        <v>8</v>
      </c>
      <c r="P164" s="166" t="n">
        <v>881</v>
      </c>
      <c r="Q164" s="166" t="n">
        <f aca="false">R164+S164</f>
        <v>7048</v>
      </c>
      <c r="R164" s="166" t="n">
        <f aca="false">881</f>
        <v>881</v>
      </c>
      <c r="S164" s="156" t="n">
        <v>6167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157</v>
      </c>
      <c r="C165" s="19"/>
      <c r="D165" s="19"/>
      <c r="E165" s="127"/>
      <c r="F165" s="22"/>
      <c r="G165" s="146" t="s">
        <v>22</v>
      </c>
      <c r="H165" s="147" t="n">
        <v>3</v>
      </c>
      <c r="I165" s="148" t="n">
        <v>1</v>
      </c>
      <c r="J165" s="148" t="n">
        <v>1</v>
      </c>
      <c r="K165" s="149" t="n">
        <v>3876.4</v>
      </c>
      <c r="L165" s="149" t="n">
        <f aca="false">M165+N165</f>
        <v>3876.4</v>
      </c>
      <c r="M165" s="149"/>
      <c r="N165" s="190" t="n">
        <v>3876.4</v>
      </c>
      <c r="O165" s="151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17"/>
      <c r="B166" s="18"/>
      <c r="C166" s="18"/>
      <c r="D166" s="18"/>
      <c r="E166" s="127"/>
      <c r="F166" s="26" t="s">
        <v>202</v>
      </c>
      <c r="G166" s="152" t="s">
        <v>26</v>
      </c>
      <c r="H166" s="176" t="n">
        <v>1</v>
      </c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1762</v>
      </c>
      <c r="R166" s="155"/>
      <c r="S166" s="156" t="n">
        <v>1762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117</v>
      </c>
      <c r="C167" s="35" t="s">
        <v>33</v>
      </c>
      <c r="D167" s="35" t="s">
        <v>118</v>
      </c>
      <c r="E167" s="74" t="s">
        <v>25</v>
      </c>
      <c r="F167" s="89"/>
      <c r="G167" s="158" t="s">
        <v>22</v>
      </c>
      <c r="H167" s="169"/>
      <c r="I167" s="160"/>
      <c r="J167" s="160"/>
      <c r="K167" s="161"/>
      <c r="L167" s="161" t="n">
        <f aca="false">M167+N167</f>
        <v>0</v>
      </c>
      <c r="M167" s="161"/>
      <c r="N167" s="190"/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33"/>
      <c r="B168" s="34"/>
      <c r="C168" s="34"/>
      <c r="D168" s="34"/>
      <c r="E168" s="34"/>
      <c r="F168" s="42"/>
      <c r="G168" s="158" t="s">
        <v>23</v>
      </c>
      <c r="H168" s="169"/>
      <c r="I168" s="160"/>
      <c r="J168" s="160"/>
      <c r="K168" s="161"/>
      <c r="L168" s="161" t="n">
        <f aca="false">M168+N168</f>
        <v>0</v>
      </c>
      <c r="M168" s="161"/>
      <c r="N168" s="167"/>
      <c r="O168" s="163"/>
      <c r="P168" s="161"/>
      <c r="Q168" s="161" t="n">
        <f aca="false">R168+S168</f>
        <v>0</v>
      </c>
      <c r="R168" s="161"/>
      <c r="S168" s="167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33"/>
      <c r="B169" s="34"/>
      <c r="C169" s="34"/>
      <c r="D169" s="34"/>
      <c r="E169" s="34"/>
      <c r="F169" s="42"/>
      <c r="G169" s="164" t="s">
        <v>26</v>
      </c>
      <c r="H169" s="153"/>
      <c r="I169" s="165"/>
      <c r="J169" s="165"/>
      <c r="K169" s="166"/>
      <c r="L169" s="166" t="n">
        <f aca="false">M169+N169</f>
        <v>0</v>
      </c>
      <c r="M169" s="166"/>
      <c r="N169" s="156"/>
      <c r="O169" s="168" t="n">
        <v>5</v>
      </c>
      <c r="P169" s="166" t="n">
        <v>4845.5</v>
      </c>
      <c r="Q169" s="166" t="n">
        <f aca="false">R169+S169</f>
        <v>1762</v>
      </c>
      <c r="R169" s="166" t="n">
        <v>1762</v>
      </c>
      <c r="S169" s="156" t="n">
        <v>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119</v>
      </c>
      <c r="C170" s="19" t="s">
        <v>20</v>
      </c>
      <c r="D170" s="19"/>
      <c r="E170" s="19" t="s">
        <v>25</v>
      </c>
      <c r="F170" s="20"/>
      <c r="G170" s="146" t="s">
        <v>22</v>
      </c>
      <c r="H170" s="169"/>
      <c r="I170" s="148"/>
      <c r="J170" s="148"/>
      <c r="K170" s="149"/>
      <c r="L170" s="149" t="n">
        <f aca="false">M170+N170</f>
        <v>0</v>
      </c>
      <c r="M170" s="149"/>
      <c r="N170" s="190"/>
      <c r="O170" s="151" t="n">
        <v>2</v>
      </c>
      <c r="P170" s="149" t="n">
        <v>2643</v>
      </c>
      <c r="Q170" s="149" t="n">
        <f aca="false">R170+S170</f>
        <v>2643</v>
      </c>
      <c r="R170" s="149" t="n">
        <v>2643</v>
      </c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42" t="s">
        <v>203</v>
      </c>
      <c r="G171" s="164" t="s">
        <v>26</v>
      </c>
      <c r="H171" s="175" t="n">
        <v>4</v>
      </c>
      <c r="I171" s="165" t="n">
        <v>2</v>
      </c>
      <c r="J171" s="165" t="n">
        <v>2</v>
      </c>
      <c r="K171" s="166" t="n">
        <v>1233.4</v>
      </c>
      <c r="L171" s="166" t="n">
        <f aca="false">M171+N171</f>
        <v>704.8</v>
      </c>
      <c r="M171" s="166" t="n">
        <v>0</v>
      </c>
      <c r="N171" s="156" t="n">
        <v>704.8</v>
      </c>
      <c r="O171" s="168" t="n">
        <v>2</v>
      </c>
      <c r="P171" s="166" t="n">
        <v>7576.6</v>
      </c>
      <c r="Q171" s="166" t="n">
        <f aca="false">R171+S171</f>
        <v>881</v>
      </c>
      <c r="R171" s="166" t="n">
        <f aca="false">881</f>
        <v>881</v>
      </c>
      <c r="S171" s="156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225</v>
      </c>
      <c r="C172" s="19"/>
      <c r="D172" s="19"/>
      <c r="E172" s="19"/>
      <c r="F172" s="20"/>
      <c r="G172" s="146" t="s">
        <v>22</v>
      </c>
      <c r="H172" s="147"/>
      <c r="I172" s="148"/>
      <c r="J172" s="148"/>
      <c r="K172" s="149"/>
      <c r="L172" s="149" t="n">
        <f aca="false">M172+N172</f>
        <v>0</v>
      </c>
      <c r="M172" s="149"/>
      <c r="N172" s="190"/>
      <c r="O172" s="151"/>
      <c r="P172" s="149"/>
      <c r="Q172" s="149" t="n">
        <f aca="false">R172+S172</f>
        <v>0</v>
      </c>
      <c r="R172" s="149"/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17"/>
      <c r="B173" s="18"/>
      <c r="C173" s="18"/>
      <c r="D173" s="18"/>
      <c r="E173" s="18"/>
      <c r="F173" s="26" t="s">
        <v>244</v>
      </c>
      <c r="G173" s="152" t="s">
        <v>23</v>
      </c>
      <c r="H173" s="176" t="n">
        <v>13</v>
      </c>
      <c r="I173" s="154"/>
      <c r="J173" s="154"/>
      <c r="K173" s="155"/>
      <c r="L173" s="155" t="n">
        <f aca="false">M173+N173</f>
        <v>0</v>
      </c>
      <c r="M173" s="155"/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54"/>
      <c r="B174" s="55" t="s">
        <v>120</v>
      </c>
      <c r="C174" s="56" t="s">
        <v>20</v>
      </c>
      <c r="D174" s="56"/>
      <c r="E174" s="56" t="s">
        <v>25</v>
      </c>
      <c r="F174" s="36"/>
      <c r="G174" s="158" t="s">
        <v>22</v>
      </c>
      <c r="H174" s="169"/>
      <c r="I174" s="160"/>
      <c r="J174" s="160"/>
      <c r="K174" s="161"/>
      <c r="L174" s="161" t="n">
        <f aca="false">M174+N174</f>
        <v>0</v>
      </c>
      <c r="M174" s="161"/>
      <c r="N174" s="190"/>
      <c r="O174" s="163" t="n">
        <v>3</v>
      </c>
      <c r="P174" s="161" t="n">
        <v>3063.78</v>
      </c>
      <c r="Q174" s="161" t="n">
        <f aca="false">R174+S174</f>
        <v>3063.78</v>
      </c>
      <c r="R174" s="161" t="n">
        <v>3063.78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/>
      <c r="C175" s="55"/>
      <c r="D175" s="55"/>
      <c r="E175" s="55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56"/>
      <c r="O175" s="168"/>
      <c r="P175" s="166"/>
      <c r="Q175" s="166" t="n">
        <f aca="false">R175+S175</f>
        <v>0</v>
      </c>
      <c r="R175" s="166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72"/>
      <c r="B176" s="18" t="s">
        <v>158</v>
      </c>
      <c r="C176" s="74"/>
      <c r="D176" s="56" t="s">
        <v>204</v>
      </c>
      <c r="E176" s="74"/>
      <c r="F176" s="53"/>
      <c r="G176" s="146" t="s">
        <v>22</v>
      </c>
      <c r="H176" s="195"/>
      <c r="I176" s="196"/>
      <c r="J176" s="196"/>
      <c r="K176" s="197"/>
      <c r="L176" s="197" t="n">
        <f aca="false">M176+N176</f>
        <v>0</v>
      </c>
      <c r="M176" s="197"/>
      <c r="N176" s="190"/>
      <c r="O176" s="199"/>
      <c r="P176" s="197"/>
      <c r="Q176" s="197" t="n">
        <f aca="false">R176+S176</f>
        <v>0</v>
      </c>
      <c r="R176" s="197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54"/>
      <c r="B177" s="18"/>
      <c r="C177" s="56"/>
      <c r="D177" s="56"/>
      <c r="E177" s="56"/>
      <c r="F177" s="138" t="s">
        <v>205</v>
      </c>
      <c r="G177" s="152" t="s">
        <v>26</v>
      </c>
      <c r="H177" s="153" t="n">
        <v>3</v>
      </c>
      <c r="I177" s="200"/>
      <c r="J177" s="200"/>
      <c r="K177" s="201"/>
      <c r="L177" s="201" t="n">
        <f aca="false">M177+N177</f>
        <v>0</v>
      </c>
      <c r="M177" s="201"/>
      <c r="N177" s="156"/>
      <c r="O177" s="203"/>
      <c r="P177" s="201"/>
      <c r="Q177" s="201" t="n">
        <f aca="false">R177+S177</f>
        <v>0</v>
      </c>
      <c r="R177" s="201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33"/>
      <c r="B178" s="34" t="s">
        <v>152</v>
      </c>
      <c r="C178" s="35" t="s">
        <v>20</v>
      </c>
      <c r="D178" s="35"/>
      <c r="E178" s="35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4</v>
      </c>
      <c r="P178" s="161" t="n">
        <v>7400.4</v>
      </c>
      <c r="Q178" s="161" t="n">
        <f aca="false">R178+S178</f>
        <v>2819.2</v>
      </c>
      <c r="R178" s="161" t="n">
        <v>2819.2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206</v>
      </c>
      <c r="G179" s="164" t="s">
        <v>26</v>
      </c>
      <c r="H179" s="171" t="n">
        <v>4</v>
      </c>
      <c r="I179" s="165"/>
      <c r="J179" s="165"/>
      <c r="K179" s="166"/>
      <c r="L179" s="166" t="n">
        <v>0</v>
      </c>
      <c r="M179" s="166" t="n">
        <v>0</v>
      </c>
      <c r="N179" s="156"/>
      <c r="O179" s="168" t="n">
        <v>3</v>
      </c>
      <c r="P179" s="166" t="n">
        <v>5814.6</v>
      </c>
      <c r="Q179" s="161" t="n">
        <f aca="false">R179+S179</f>
        <v>6959.9</v>
      </c>
      <c r="R179" s="166" t="n">
        <v>2731.1</v>
      </c>
      <c r="S179" s="156" t="n">
        <v>4228.8</v>
      </c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122</v>
      </c>
      <c r="C180" s="19" t="s">
        <v>20</v>
      </c>
      <c r="D180" s="19"/>
      <c r="E180" s="19" t="s">
        <v>116</v>
      </c>
      <c r="F180" s="20"/>
      <c r="G180" s="146" t="s">
        <v>22</v>
      </c>
      <c r="H180" s="159" t="n">
        <v>22</v>
      </c>
      <c r="I180" s="148" t="n">
        <v>19</v>
      </c>
      <c r="J180" s="148" t="n">
        <v>23</v>
      </c>
      <c r="K180" s="149" t="n">
        <v>32759.12</v>
      </c>
      <c r="L180" s="149" t="n">
        <f aca="false">M180+N180</f>
        <v>11563.14</v>
      </c>
      <c r="M180" s="149" t="n">
        <v>11563.14</v>
      </c>
      <c r="N180" s="190"/>
      <c r="O180" s="151" t="n">
        <v>24</v>
      </c>
      <c r="P180" s="149" t="n">
        <v>61568.09</v>
      </c>
      <c r="Q180" s="149" t="n">
        <f aca="false">R180+S180</f>
        <v>38935.35</v>
      </c>
      <c r="R180" s="149" t="n">
        <v>38935.35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57"/>
      <c r="G181" s="152" t="s">
        <v>26</v>
      </c>
      <c r="H181" s="153"/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123</v>
      </c>
      <c r="C182" s="35" t="s">
        <v>20</v>
      </c>
      <c r="D182" s="35"/>
      <c r="E182" s="35" t="s">
        <v>25</v>
      </c>
      <c r="F182" s="36"/>
      <c r="G182" s="146" t="s">
        <v>22</v>
      </c>
      <c r="H182" s="159" t="n">
        <v>3</v>
      </c>
      <c r="I182" s="160" t="n">
        <v>3</v>
      </c>
      <c r="J182" s="160" t="n">
        <v>3</v>
      </c>
      <c r="K182" s="161" t="n">
        <v>2255.36</v>
      </c>
      <c r="L182" s="161" t="n">
        <f aca="false">M182+N182</f>
        <v>881</v>
      </c>
      <c r="M182" s="161" t="n">
        <v>881</v>
      </c>
      <c r="N182" s="190"/>
      <c r="O182" s="163" t="n">
        <v>6</v>
      </c>
      <c r="P182" s="161" t="n">
        <v>10868.41</v>
      </c>
      <c r="Q182" s="161" t="n">
        <f aca="false">R182+S182</f>
        <v>10269.33</v>
      </c>
      <c r="R182" s="161" t="n">
        <v>10269.33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207</v>
      </c>
      <c r="G183" s="164" t="s">
        <v>26</v>
      </c>
      <c r="H183" s="153" t="n">
        <v>1</v>
      </c>
      <c r="I183" s="165"/>
      <c r="J183" s="165"/>
      <c r="K183" s="166"/>
      <c r="L183" s="161" t="n">
        <f aca="false">M183+N183</f>
        <v>0</v>
      </c>
      <c r="M183" s="166" t="n">
        <v>0</v>
      </c>
      <c r="N183" s="156"/>
      <c r="O183" s="168" t="n">
        <v>1</v>
      </c>
      <c r="P183" s="166"/>
      <c r="Q183" s="166" t="n">
        <f aca="false">R183+S183</f>
        <v>881</v>
      </c>
      <c r="R183" s="166" t="n">
        <f aca="false">881</f>
        <v>881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124</v>
      </c>
      <c r="C184" s="19" t="s">
        <v>20</v>
      </c>
      <c r="D184" s="19"/>
      <c r="E184" s="19" t="s">
        <v>88</v>
      </c>
      <c r="F184" s="20"/>
      <c r="G184" s="146" t="s">
        <v>22</v>
      </c>
      <c r="H184" s="159" t="n">
        <v>8</v>
      </c>
      <c r="I184" s="148" t="n">
        <v>2</v>
      </c>
      <c r="J184" s="148" t="n">
        <v>2</v>
      </c>
      <c r="K184" s="149" t="n">
        <v>5272.09</v>
      </c>
      <c r="L184" s="149" t="n">
        <f aca="false">M184+N184</f>
        <v>3286.13</v>
      </c>
      <c r="M184" s="149"/>
      <c r="N184" s="190" t="n">
        <v>3286.13</v>
      </c>
      <c r="O184" s="151" t="n">
        <v>6</v>
      </c>
      <c r="P184" s="149" t="n">
        <v>16237.42</v>
      </c>
      <c r="Q184" s="149" t="n">
        <f aca="false">R184+S184</f>
        <v>16237.42</v>
      </c>
      <c r="R184" s="149" t="n">
        <v>14475.42</v>
      </c>
      <c r="S184" s="190" t="n">
        <v>1762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42" t="s">
        <v>245</v>
      </c>
      <c r="G185" s="164" t="s">
        <v>23</v>
      </c>
      <c r="H185" s="172" t="n">
        <v>7</v>
      </c>
      <c r="I185" s="165"/>
      <c r="J185" s="165"/>
      <c r="K185" s="166"/>
      <c r="L185" s="166" t="n">
        <v>0</v>
      </c>
      <c r="M185" s="166"/>
      <c r="N185" s="156"/>
      <c r="O185" s="168" t="n">
        <v>2</v>
      </c>
      <c r="P185" s="166" t="n">
        <v>3976.4</v>
      </c>
      <c r="Q185" s="166" t="n">
        <v>3976.4</v>
      </c>
      <c r="R185" s="166" t="n">
        <v>3976.4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208</v>
      </c>
      <c r="C186" s="19"/>
      <c r="D186" s="19"/>
      <c r="E186" s="127"/>
      <c r="F186" s="20"/>
      <c r="G186" s="146" t="s">
        <v>22</v>
      </c>
      <c r="H186" s="173" t="n">
        <v>17</v>
      </c>
      <c r="I186" s="148" t="n">
        <v>3</v>
      </c>
      <c r="J186" s="148" t="n">
        <v>3</v>
      </c>
      <c r="K186" s="149" t="n">
        <v>3728.39</v>
      </c>
      <c r="L186" s="149" t="n">
        <f aca="false">M186+N186</f>
        <v>2396.32</v>
      </c>
      <c r="M186" s="149"/>
      <c r="N186" s="190" t="n">
        <v>2396.32</v>
      </c>
      <c r="O186" s="151"/>
      <c r="P186" s="149"/>
      <c r="Q186" s="149" t="n">
        <f aca="false">R186+S186</f>
        <v>0</v>
      </c>
      <c r="R186" s="149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28"/>
      <c r="F187" s="26" t="s">
        <v>246</v>
      </c>
      <c r="G187" s="152" t="s">
        <v>23</v>
      </c>
      <c r="H187" s="174" t="n">
        <v>6</v>
      </c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125</v>
      </c>
      <c r="C188" s="35" t="s">
        <v>33</v>
      </c>
      <c r="D188" s="35" t="s">
        <v>126</v>
      </c>
      <c r="E188" s="35" t="s">
        <v>127</v>
      </c>
      <c r="F188" s="36"/>
      <c r="G188" s="158" t="s">
        <v>22</v>
      </c>
      <c r="H188" s="159" t="n">
        <v>8</v>
      </c>
      <c r="I188" s="160" t="n">
        <v>4</v>
      </c>
      <c r="J188" s="160" t="n">
        <v>5</v>
      </c>
      <c r="K188" s="161" t="n">
        <v>6427.42</v>
      </c>
      <c r="L188" s="161" t="n">
        <f aca="false">M188+N188</f>
        <v>2128.14</v>
      </c>
      <c r="M188" s="161"/>
      <c r="N188" s="190" t="n">
        <v>2128.14</v>
      </c>
      <c r="O188" s="163" t="n">
        <v>12</v>
      </c>
      <c r="P188" s="161" t="n">
        <v>24224.96</v>
      </c>
      <c r="Q188" s="161" t="n">
        <f aca="false">R188+S188</f>
        <v>15275.34</v>
      </c>
      <c r="R188" s="161" t="n">
        <v>11500.86</v>
      </c>
      <c r="S188" s="190" t="n">
        <v>3774.48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164" t="s">
        <v>23</v>
      </c>
      <c r="H189" s="171" t="n">
        <v>30</v>
      </c>
      <c r="I189" s="165" t="n">
        <v>7</v>
      </c>
      <c r="J189" s="165" t="n">
        <v>7</v>
      </c>
      <c r="K189" s="166" t="n">
        <v>10924.4</v>
      </c>
      <c r="L189" s="166" t="n">
        <v>2995.4</v>
      </c>
      <c r="M189" s="166" t="n">
        <v>2995.4</v>
      </c>
      <c r="N189" s="156"/>
      <c r="O189" s="168" t="n">
        <v>13</v>
      </c>
      <c r="P189" s="166" t="n">
        <v>34485.64</v>
      </c>
      <c r="Q189" s="166" t="n">
        <v>4581.2</v>
      </c>
      <c r="R189" s="166" t="n">
        <v>4581.2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128</v>
      </c>
      <c r="C190" s="19" t="s">
        <v>20</v>
      </c>
      <c r="D190" s="19"/>
      <c r="E190" s="19" t="s">
        <v>25</v>
      </c>
      <c r="F190" s="20"/>
      <c r="G190" s="146" t="s">
        <v>22</v>
      </c>
      <c r="H190" s="159" t="n">
        <v>15</v>
      </c>
      <c r="I190" s="148" t="n">
        <v>10</v>
      </c>
      <c r="J190" s="148" t="n">
        <v>10</v>
      </c>
      <c r="K190" s="149" t="n">
        <v>10868.49</v>
      </c>
      <c r="L190" s="149" t="n">
        <f aca="false">M190+N190</f>
        <v>5465.9</v>
      </c>
      <c r="M190" s="149" t="n">
        <v>1708.7</v>
      </c>
      <c r="N190" s="190" t="n">
        <v>3757.2</v>
      </c>
      <c r="O190" s="151" t="n">
        <v>24</v>
      </c>
      <c r="P190" s="149" t="n">
        <v>42740.26</v>
      </c>
      <c r="Q190" s="149" t="n">
        <f aca="false">R190+S190</f>
        <v>7845.45</v>
      </c>
      <c r="R190" s="149" t="n">
        <v>5312.27</v>
      </c>
      <c r="S190" s="190" t="n">
        <v>2533.18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71"/>
      <c r="G191" s="164" t="s">
        <v>26</v>
      </c>
      <c r="H191" s="175"/>
      <c r="I191" s="165"/>
      <c r="J191" s="165"/>
      <c r="K191" s="166"/>
      <c r="L191" s="166" t="n">
        <f aca="false">M191+N191</f>
        <v>0</v>
      </c>
      <c r="M191" s="166"/>
      <c r="N191" s="156"/>
      <c r="O191" s="168"/>
      <c r="P191" s="166"/>
      <c r="Q191" s="166" t="n">
        <f aca="false">R191+S191</f>
        <v>0</v>
      </c>
      <c r="R191" s="166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227</v>
      </c>
      <c r="C192" s="19"/>
      <c r="D192" s="19"/>
      <c r="E192" s="19"/>
      <c r="F192" s="20"/>
      <c r="G192" s="204" t="s">
        <v>22</v>
      </c>
      <c r="H192" s="173" t="n">
        <v>2</v>
      </c>
      <c r="I192" s="148" t="n">
        <v>1</v>
      </c>
      <c r="J192" s="148" t="n">
        <v>1</v>
      </c>
      <c r="K192" s="149" t="n">
        <v>621.99</v>
      </c>
      <c r="L192" s="149" t="n">
        <f aca="false">M192+N192</f>
        <v>0</v>
      </c>
      <c r="M192" s="149"/>
      <c r="N192" s="190"/>
      <c r="O192" s="206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207" t="s">
        <v>26</v>
      </c>
      <c r="H193" s="174"/>
      <c r="I193" s="154"/>
      <c r="J193" s="154"/>
      <c r="K193" s="155"/>
      <c r="L193" s="155" t="n">
        <f aca="false">M193+N193</f>
        <v>0</v>
      </c>
      <c r="M193" s="155"/>
      <c r="N193" s="156"/>
      <c r="O193" s="209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129</v>
      </c>
      <c r="C194" s="35" t="s">
        <v>38</v>
      </c>
      <c r="D194" s="35" t="s">
        <v>130</v>
      </c>
      <c r="E194" s="35" t="s">
        <v>25</v>
      </c>
      <c r="F194" s="36"/>
      <c r="G194" s="158" t="s">
        <v>22</v>
      </c>
      <c r="H194" s="159" t="n">
        <v>9</v>
      </c>
      <c r="I194" s="160" t="n">
        <v>6</v>
      </c>
      <c r="J194" s="160" t="n">
        <v>6</v>
      </c>
      <c r="K194" s="161" t="n">
        <v>5152.01</v>
      </c>
      <c r="L194" s="161" t="n">
        <f aca="false">M194+N194</f>
        <v>3147.73</v>
      </c>
      <c r="M194" s="161" t="n">
        <v>3147.73</v>
      </c>
      <c r="N194" s="190"/>
      <c r="O194" s="163" t="n">
        <v>3</v>
      </c>
      <c r="P194" s="161" t="n">
        <v>55205.85</v>
      </c>
      <c r="Q194" s="161" t="n">
        <f aca="false">R194+S194</f>
        <v>44463.45</v>
      </c>
      <c r="R194" s="161" t="n">
        <v>44463.45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209</v>
      </c>
      <c r="G195" s="164" t="s">
        <v>26</v>
      </c>
      <c r="H195" s="153" t="n">
        <v>3</v>
      </c>
      <c r="I195" s="165"/>
      <c r="J195" s="165"/>
      <c r="K195" s="166"/>
      <c r="L195" s="161" t="n">
        <f aca="false">M195+N195</f>
        <v>0</v>
      </c>
      <c r="M195" s="166" t="n">
        <v>0</v>
      </c>
      <c r="N195" s="156"/>
      <c r="O195" s="168" t="n">
        <v>7</v>
      </c>
      <c r="P195" s="166" t="n">
        <v>20590.6</v>
      </c>
      <c r="Q195" s="166" t="n">
        <f aca="false">R195+S195</f>
        <v>16374.2</v>
      </c>
      <c r="R195" s="166" t="n">
        <f aca="false">881+881</f>
        <v>1762</v>
      </c>
      <c r="S195" s="167" t="n">
        <v>14612.2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17"/>
      <c r="B196" s="18" t="s">
        <v>131</v>
      </c>
      <c r="C196" s="19" t="s">
        <v>38</v>
      </c>
      <c r="D196" s="19" t="s">
        <v>130</v>
      </c>
      <c r="E196" s="19" t="s">
        <v>25</v>
      </c>
      <c r="F196" s="20"/>
      <c r="G196" s="146" t="s">
        <v>22</v>
      </c>
      <c r="H196" s="159" t="n">
        <v>8</v>
      </c>
      <c r="I196" s="148" t="n">
        <v>7</v>
      </c>
      <c r="J196" s="148" t="n">
        <v>11</v>
      </c>
      <c r="K196" s="149" t="n">
        <v>25996.1</v>
      </c>
      <c r="L196" s="149" t="n">
        <f aca="false">M196+N196</f>
        <v>13633.47</v>
      </c>
      <c r="M196" s="149" t="n">
        <v>13633.47</v>
      </c>
      <c r="N196" s="190"/>
      <c r="O196" s="151" t="n">
        <v>14</v>
      </c>
      <c r="P196" s="149" t="n">
        <v>65810.62</v>
      </c>
      <c r="Q196" s="149" t="n">
        <f aca="false">R196+S196</f>
        <v>55278.65</v>
      </c>
      <c r="R196" s="149" t="n">
        <v>55278.65</v>
      </c>
      <c r="S196" s="198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17"/>
      <c r="B197" s="18"/>
      <c r="C197" s="18"/>
      <c r="D197" s="18"/>
      <c r="E197" s="18"/>
      <c r="F197" s="26" t="s">
        <v>210</v>
      </c>
      <c r="G197" s="152" t="s">
        <v>26</v>
      </c>
      <c r="H197" s="153" t="n">
        <v>2</v>
      </c>
      <c r="I197" s="154" t="n">
        <v>2</v>
      </c>
      <c r="J197" s="154" t="n">
        <v>2</v>
      </c>
      <c r="K197" s="155" t="n">
        <v>1585.8</v>
      </c>
      <c r="L197" s="155" t="n">
        <f aca="false">M197+N197</f>
        <v>1585.8</v>
      </c>
      <c r="M197" s="155"/>
      <c r="N197" s="156" t="n">
        <v>1585.8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33"/>
      <c r="B198" s="34" t="s">
        <v>132</v>
      </c>
      <c r="C198" s="35" t="s">
        <v>20</v>
      </c>
      <c r="D198" s="35"/>
      <c r="E198" s="35" t="s">
        <v>69</v>
      </c>
      <c r="F198" s="38"/>
      <c r="G198" s="146" t="s">
        <v>22</v>
      </c>
      <c r="H198" s="159" t="n">
        <v>8</v>
      </c>
      <c r="I198" s="160" t="n">
        <v>6</v>
      </c>
      <c r="J198" s="160" t="n">
        <v>8</v>
      </c>
      <c r="K198" s="161" t="n">
        <v>17601.94</v>
      </c>
      <c r="L198" s="161" t="n">
        <f aca="false">M198+N198</f>
        <v>14544.62</v>
      </c>
      <c r="M198" s="161" t="n">
        <v>1973.48</v>
      </c>
      <c r="N198" s="190" t="n">
        <v>12571.14</v>
      </c>
      <c r="O198" s="163" t="n">
        <v>11</v>
      </c>
      <c r="P198" s="161" t="n">
        <v>34976.18</v>
      </c>
      <c r="Q198" s="161" t="n">
        <f aca="false">R198+S198</f>
        <v>28827.93</v>
      </c>
      <c r="R198" s="161" t="n">
        <v>28827.93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33"/>
      <c r="B199" s="34"/>
      <c r="C199" s="34"/>
      <c r="D199" s="34"/>
      <c r="E199" s="34"/>
      <c r="F199" s="42" t="s">
        <v>211</v>
      </c>
      <c r="G199" s="164" t="s">
        <v>26</v>
      </c>
      <c r="H199" s="153" t="n">
        <v>5</v>
      </c>
      <c r="I199" s="165"/>
      <c r="J199" s="165"/>
      <c r="K199" s="166"/>
      <c r="L199" s="166" t="n">
        <f aca="false">M199+N199</f>
        <v>0</v>
      </c>
      <c r="M199" s="166"/>
      <c r="N199" s="156"/>
      <c r="O199" s="168" t="n">
        <v>1</v>
      </c>
      <c r="P199" s="166" t="n">
        <v>3700.2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133</v>
      </c>
      <c r="C200" s="74" t="s">
        <v>20</v>
      </c>
      <c r="D200" s="74"/>
      <c r="E200" s="74" t="s">
        <v>25</v>
      </c>
      <c r="F200" s="22"/>
      <c r="G200" s="146" t="s">
        <v>22</v>
      </c>
      <c r="H200" s="159" t="n">
        <v>3</v>
      </c>
      <c r="I200" s="148" t="n">
        <v>2</v>
      </c>
      <c r="J200" s="148" t="n">
        <v>2</v>
      </c>
      <c r="K200" s="149" t="n">
        <v>3312.63</v>
      </c>
      <c r="L200" s="149" t="n">
        <f aca="false">M200+N200</f>
        <v>2784.03</v>
      </c>
      <c r="M200" s="149"/>
      <c r="N200" s="190" t="n">
        <v>2784.03</v>
      </c>
      <c r="O200" s="151" t="n">
        <v>2</v>
      </c>
      <c r="P200" s="149" t="n">
        <v>4329.79</v>
      </c>
      <c r="Q200" s="149" t="n">
        <f aca="false">R200+S200</f>
        <v>4329.79</v>
      </c>
      <c r="R200" s="149" t="n">
        <v>2163.03</v>
      </c>
      <c r="S200" s="190" t="n">
        <v>2166.76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72"/>
      <c r="B201" s="73"/>
      <c r="C201" s="73"/>
      <c r="D201" s="73"/>
      <c r="E201" s="73"/>
      <c r="F201" s="42" t="s">
        <v>212</v>
      </c>
      <c r="G201" s="164" t="s">
        <v>26</v>
      </c>
      <c r="H201" s="171" t="n">
        <v>4</v>
      </c>
      <c r="I201" s="165" t="n">
        <v>1</v>
      </c>
      <c r="J201" s="165" t="n">
        <v>1</v>
      </c>
      <c r="K201" s="166" t="n">
        <v>1409.6</v>
      </c>
      <c r="L201" s="166" t="n">
        <f aca="false">M201+N201</f>
        <v>1409.6</v>
      </c>
      <c r="M201" s="166"/>
      <c r="N201" s="156" t="n">
        <v>1409.6</v>
      </c>
      <c r="O201" s="168" t="n">
        <v>1</v>
      </c>
      <c r="P201" s="166" t="n">
        <v>1321.5</v>
      </c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134</v>
      </c>
      <c r="C202" s="74" t="s">
        <v>20</v>
      </c>
      <c r="D202" s="74"/>
      <c r="E202" s="74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90"/>
      <c r="O202" s="151" t="n">
        <v>1</v>
      </c>
      <c r="P202" s="149" t="n">
        <v>13019.26</v>
      </c>
      <c r="Q202" s="149" t="n">
        <f aca="false">R202+S202</f>
        <v>13019.26</v>
      </c>
      <c r="R202" s="149" t="n">
        <v>13019.26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72"/>
      <c r="B203" s="73"/>
      <c r="C203" s="73"/>
      <c r="D203" s="73"/>
      <c r="E203" s="73"/>
      <c r="F203" s="42" t="s">
        <v>213</v>
      </c>
      <c r="G203" s="164" t="s">
        <v>26</v>
      </c>
      <c r="H203" s="153" t="n">
        <v>2</v>
      </c>
      <c r="I203" s="165"/>
      <c r="J203" s="165"/>
      <c r="K203" s="166"/>
      <c r="L203" s="166" t="n">
        <f aca="false">M203+N203</f>
        <v>0</v>
      </c>
      <c r="M203" s="166"/>
      <c r="N203" s="156"/>
      <c r="O203" s="168" t="n">
        <v>3</v>
      </c>
      <c r="P203" s="166" t="n">
        <v>23840.15</v>
      </c>
      <c r="Q203" s="166" t="n">
        <f aca="false">R203+S203</f>
        <v>10713.22</v>
      </c>
      <c r="R203" s="166"/>
      <c r="S203" s="156" t="n">
        <v>10713.22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17"/>
      <c r="B204" s="18" t="s">
        <v>135</v>
      </c>
      <c r="C204" s="19" t="s">
        <v>20</v>
      </c>
      <c r="D204" s="19"/>
      <c r="E204" s="19" t="s">
        <v>69</v>
      </c>
      <c r="F204" s="22"/>
      <c r="G204" s="146" t="s">
        <v>22</v>
      </c>
      <c r="H204" s="159" t="n">
        <v>9</v>
      </c>
      <c r="I204" s="148" t="n">
        <v>4</v>
      </c>
      <c r="J204" s="148" t="n">
        <v>4</v>
      </c>
      <c r="K204" s="149" t="n">
        <v>5030.51</v>
      </c>
      <c r="L204" s="149" t="n">
        <f aca="false">M204+N204</f>
        <v>2995.4</v>
      </c>
      <c r="M204" s="149" t="n">
        <v>2995.4</v>
      </c>
      <c r="N204" s="190"/>
      <c r="O204" s="151" t="n">
        <v>12</v>
      </c>
      <c r="P204" s="149" t="n">
        <v>22594.45</v>
      </c>
      <c r="Q204" s="149" t="n">
        <f aca="false">R204+S204</f>
        <v>14331.8</v>
      </c>
      <c r="R204" s="149" t="n">
        <v>14331.8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277</v>
      </c>
      <c r="G205" s="152" t="s">
        <v>26</v>
      </c>
      <c r="H205" s="171" t="n">
        <v>6</v>
      </c>
      <c r="I205" s="154"/>
      <c r="J205" s="154"/>
      <c r="K205" s="155"/>
      <c r="L205" s="155" t="n">
        <f aca="false">M205+N205</f>
        <v>0</v>
      </c>
      <c r="M205" s="155"/>
      <c r="N205" s="156"/>
      <c r="O205" s="157" t="n">
        <v>2</v>
      </c>
      <c r="P205" s="155" t="n">
        <v>2292.9</v>
      </c>
      <c r="Q205" s="155" t="n">
        <f aca="false">R205+S205</f>
        <v>792.9</v>
      </c>
      <c r="R205" s="155"/>
      <c r="S205" s="156" t="n">
        <v>792.9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136</v>
      </c>
      <c r="C206" s="35" t="s">
        <v>20</v>
      </c>
      <c r="D206" s="35"/>
      <c r="E206" s="35" t="s">
        <v>98</v>
      </c>
      <c r="F206" s="36"/>
      <c r="G206" s="146" t="s">
        <v>22</v>
      </c>
      <c r="H206" s="159" t="n">
        <v>12</v>
      </c>
      <c r="I206" s="160" t="n">
        <v>9</v>
      </c>
      <c r="J206" s="160" t="n">
        <v>12</v>
      </c>
      <c r="K206" s="161" t="n">
        <v>20218.61</v>
      </c>
      <c r="L206" s="161" t="n">
        <f aca="false">M206+N206</f>
        <v>20218.61</v>
      </c>
      <c r="M206" s="161" t="n">
        <v>7070.9</v>
      </c>
      <c r="N206" s="190" t="n">
        <v>13147.71</v>
      </c>
      <c r="O206" s="163" t="n">
        <v>9</v>
      </c>
      <c r="P206" s="161" t="n">
        <v>14877.54</v>
      </c>
      <c r="Q206" s="161" t="n">
        <f aca="false">R206+S206</f>
        <v>14877.54</v>
      </c>
      <c r="R206" s="161" t="n">
        <v>11139.63</v>
      </c>
      <c r="S206" s="190" t="n">
        <v>3737.91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247</v>
      </c>
      <c r="G207" s="164" t="s">
        <v>23</v>
      </c>
      <c r="H207" s="171" t="n">
        <v>5</v>
      </c>
      <c r="I207" s="165" t="n">
        <v>6</v>
      </c>
      <c r="J207" s="165" t="n">
        <v>6</v>
      </c>
      <c r="K207" s="166" t="n">
        <v>4581.2</v>
      </c>
      <c r="L207" s="166" t="n">
        <f aca="false">M207+N207</f>
        <v>0</v>
      </c>
      <c r="M207" s="166"/>
      <c r="N207" s="156"/>
      <c r="O207" s="168" t="n">
        <v>6</v>
      </c>
      <c r="P207" s="166" t="n">
        <v>5638.4</v>
      </c>
      <c r="Q207" s="166" t="n">
        <v>1585.8</v>
      </c>
      <c r="R207" s="166" t="n">
        <v>1585.8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137</v>
      </c>
      <c r="C208" s="19" t="s">
        <v>20</v>
      </c>
      <c r="D208" s="19"/>
      <c r="E208" s="19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/>
      <c r="P208" s="149"/>
      <c r="Q208" s="149" t="n">
        <f aca="false">R208+S208</f>
        <v>0</v>
      </c>
      <c r="R208" s="149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20.25" hidden="false" customHeight="true" outlineLevel="0" collapsed="false">
      <c r="A209" s="17"/>
      <c r="B209" s="18"/>
      <c r="C209" s="18"/>
      <c r="D209" s="18"/>
      <c r="E209" s="18"/>
      <c r="F209" s="26" t="s">
        <v>286</v>
      </c>
      <c r="G209" s="152" t="s">
        <v>26</v>
      </c>
      <c r="H209" s="153" t="n">
        <v>8</v>
      </c>
      <c r="I209" s="154" t="n">
        <v>1</v>
      </c>
      <c r="J209" s="154" t="n">
        <v>1</v>
      </c>
      <c r="K209" s="155" t="n">
        <v>1938.2</v>
      </c>
      <c r="L209" s="155" t="n">
        <f aca="false">M209+N209</f>
        <v>0</v>
      </c>
      <c r="M209" s="155"/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138</v>
      </c>
      <c r="C210" s="56" t="s">
        <v>33</v>
      </c>
      <c r="D210" s="56" t="s">
        <v>139</v>
      </c>
      <c r="E210" s="56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90"/>
      <c r="O210" s="163"/>
      <c r="P210" s="161"/>
      <c r="Q210" s="161" t="n">
        <f aca="false">R210+S210</f>
        <v>0</v>
      </c>
      <c r="R210" s="161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214</v>
      </c>
      <c r="G211" s="152" t="s">
        <v>26</v>
      </c>
      <c r="H211" s="171" t="n">
        <v>5</v>
      </c>
      <c r="I211" s="154" t="n">
        <v>1</v>
      </c>
      <c r="J211" s="154" t="n">
        <v>1</v>
      </c>
      <c r="K211" s="155" t="n">
        <v>2466.8</v>
      </c>
      <c r="L211" s="155" t="n">
        <f aca="false">M211+N211</f>
        <v>2466.8</v>
      </c>
      <c r="M211" s="155"/>
      <c r="N211" s="156" t="n">
        <v>2466.8</v>
      </c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33"/>
      <c r="B212" s="34" t="s">
        <v>140</v>
      </c>
      <c r="C212" s="35" t="s">
        <v>20</v>
      </c>
      <c r="D212" s="35"/>
      <c r="E212" s="35" t="s">
        <v>141</v>
      </c>
      <c r="F212" s="36"/>
      <c r="G212" s="146" t="s">
        <v>22</v>
      </c>
      <c r="H212" s="159" t="n">
        <v>8</v>
      </c>
      <c r="I212" s="160" t="n">
        <v>3</v>
      </c>
      <c r="J212" s="160" t="n">
        <v>3</v>
      </c>
      <c r="K212" s="161" t="n">
        <v>3881.13</v>
      </c>
      <c r="L212" s="161" t="n">
        <f aca="false">M212+N212</f>
        <v>1046.63</v>
      </c>
      <c r="M212" s="161" t="n">
        <v>1046.63</v>
      </c>
      <c r="N212" s="190"/>
      <c r="O212" s="163" t="n">
        <v>8</v>
      </c>
      <c r="P212" s="161" t="n">
        <v>21585.86</v>
      </c>
      <c r="Q212" s="161" t="n">
        <f aca="false">R212+S212</f>
        <v>8449.99</v>
      </c>
      <c r="R212" s="161" t="n">
        <v>8449.99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215</v>
      </c>
      <c r="G213" s="164" t="s">
        <v>26</v>
      </c>
      <c r="H213" s="175" t="n">
        <v>1</v>
      </c>
      <c r="I213" s="165"/>
      <c r="J213" s="165"/>
      <c r="K213" s="166"/>
      <c r="L213" s="166" t="n">
        <f aca="false">M213+N213</f>
        <v>0</v>
      </c>
      <c r="M213" s="166"/>
      <c r="N213" s="156"/>
      <c r="O213" s="168"/>
      <c r="P213" s="166"/>
      <c r="Q213" s="166" t="n">
        <f aca="false">R213+S213</f>
        <v>0</v>
      </c>
      <c r="R213" s="166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251</v>
      </c>
      <c r="C214" s="19" t="s">
        <v>20</v>
      </c>
      <c r="D214" s="19"/>
      <c r="E214" s="19" t="s">
        <v>116</v>
      </c>
      <c r="F214" s="20"/>
      <c r="G214" s="146" t="s">
        <v>22</v>
      </c>
      <c r="H214" s="173" t="n">
        <v>2</v>
      </c>
      <c r="I214" s="148"/>
      <c r="J214" s="148"/>
      <c r="K214" s="149"/>
      <c r="L214" s="149"/>
      <c r="M214" s="149"/>
      <c r="N214" s="190"/>
      <c r="O214" s="206"/>
      <c r="P214" s="149"/>
      <c r="Q214" s="149"/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252</v>
      </c>
      <c r="G215" s="152" t="s">
        <v>26</v>
      </c>
      <c r="H215" s="174" t="n">
        <v>3</v>
      </c>
      <c r="I215" s="154"/>
      <c r="J215" s="154"/>
      <c r="K215" s="155"/>
      <c r="L215" s="155"/>
      <c r="M215" s="155"/>
      <c r="N215" s="156"/>
      <c r="O215" s="209"/>
      <c r="P215" s="155"/>
      <c r="Q215" s="155"/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142</v>
      </c>
      <c r="C216" s="56" t="s">
        <v>20</v>
      </c>
      <c r="D216" s="56"/>
      <c r="E216" s="56" t="s">
        <v>25</v>
      </c>
      <c r="F216" s="36"/>
      <c r="G216" s="158" t="s">
        <v>22</v>
      </c>
      <c r="H216" s="173" t="n">
        <v>4</v>
      </c>
      <c r="I216" s="148" t="n">
        <v>3</v>
      </c>
      <c r="J216" s="148" t="n">
        <v>3</v>
      </c>
      <c r="K216" s="149" t="n">
        <v>1656.28</v>
      </c>
      <c r="L216" s="149" t="n">
        <f aca="false">M216+N216</f>
        <v>1656.28</v>
      </c>
      <c r="M216" s="149" t="n">
        <v>1656.28</v>
      </c>
      <c r="N216" s="190"/>
      <c r="O216" s="228" t="n">
        <v>4</v>
      </c>
      <c r="P216" s="161" t="n">
        <v>5104.51</v>
      </c>
      <c r="Q216" s="161" t="n">
        <f aca="false">R216+S216</f>
        <v>3342.51</v>
      </c>
      <c r="R216" s="161" t="n">
        <v>3342.51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42" t="s">
        <v>216</v>
      </c>
      <c r="G217" s="164" t="s">
        <v>26</v>
      </c>
      <c r="H217" s="177" t="n">
        <v>5</v>
      </c>
      <c r="I217" s="165" t="n">
        <v>3</v>
      </c>
      <c r="J217" s="165" t="n">
        <v>3</v>
      </c>
      <c r="K217" s="166" t="n">
        <v>5990.8</v>
      </c>
      <c r="L217" s="166" t="n">
        <f aca="false">M217+N217</f>
        <v>4286</v>
      </c>
      <c r="M217" s="166" t="n">
        <f aca="false">3052.81</f>
        <v>3052.81</v>
      </c>
      <c r="N217" s="167" t="n">
        <v>1233.19</v>
      </c>
      <c r="O217" s="238" t="n">
        <v>7</v>
      </c>
      <c r="P217" s="166" t="n">
        <v>7343.2</v>
      </c>
      <c r="Q217" s="166" t="n">
        <f aca="false">R217+S217</f>
        <v>7638.19</v>
      </c>
      <c r="R217" s="166" t="n">
        <v>823.59</v>
      </c>
      <c r="S217" s="167" t="n">
        <v>6814.6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287</v>
      </c>
      <c r="C218" s="56" t="s">
        <v>20</v>
      </c>
      <c r="D218" s="19"/>
      <c r="E218" s="56" t="s">
        <v>25</v>
      </c>
      <c r="F218" s="20"/>
      <c r="G218" s="21" t="s">
        <v>22</v>
      </c>
      <c r="H218" s="21"/>
      <c r="I218" s="148"/>
      <c r="J218" s="148"/>
      <c r="K218" s="149"/>
      <c r="L218" s="149" t="n">
        <f aca="false">M218+N218</f>
        <v>0</v>
      </c>
      <c r="M218" s="149"/>
      <c r="N218" s="149"/>
      <c r="O218" s="148"/>
      <c r="P218" s="149"/>
      <c r="Q218" s="149" t="n">
        <f aca="false">R218+S218</f>
        <v>0</v>
      </c>
      <c r="R218" s="149"/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288</v>
      </c>
      <c r="G219" s="27" t="s">
        <v>26</v>
      </c>
      <c r="H219" s="27" t="n">
        <v>1</v>
      </c>
      <c r="I219" s="154"/>
      <c r="J219" s="154"/>
      <c r="K219" s="155"/>
      <c r="L219" s="155" t="n">
        <f aca="false">M219+N219</f>
        <v>0</v>
      </c>
      <c r="M219" s="155"/>
      <c r="N219" s="155"/>
      <c r="O219" s="154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143</v>
      </c>
      <c r="C220" s="35" t="s">
        <v>20</v>
      </c>
      <c r="D220" s="35"/>
      <c r="E220" s="35" t="s">
        <v>25</v>
      </c>
      <c r="F220" s="36"/>
      <c r="G220" s="158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 t="n">
        <v>1</v>
      </c>
      <c r="P220" s="161" t="n">
        <v>1515.67</v>
      </c>
      <c r="Q220" s="161" t="n">
        <f aca="false">R220+S220</f>
        <v>1515.67</v>
      </c>
      <c r="R220" s="161"/>
      <c r="S220" s="190" t="n">
        <v>1515.67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217</v>
      </c>
      <c r="G221" s="164" t="s">
        <v>26</v>
      </c>
      <c r="H221" s="171" t="n">
        <v>6</v>
      </c>
      <c r="I221" s="165"/>
      <c r="J221" s="165"/>
      <c r="K221" s="166"/>
      <c r="L221" s="166" t="n">
        <f aca="false">M221+N221</f>
        <v>0</v>
      </c>
      <c r="M221" s="166"/>
      <c r="N221" s="156"/>
      <c r="O221" s="168" t="n">
        <v>6</v>
      </c>
      <c r="P221" s="166" t="n">
        <v>34775.2</v>
      </c>
      <c r="Q221" s="166" t="n">
        <f aca="false">R221+S221</f>
        <v>704.8</v>
      </c>
      <c r="R221" s="166"/>
      <c r="S221" s="156" t="n">
        <v>704.8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144</v>
      </c>
      <c r="C222" s="19" t="s">
        <v>20</v>
      </c>
      <c r="D222" s="19"/>
      <c r="E222" s="19" t="s">
        <v>81</v>
      </c>
      <c r="F222" s="20"/>
      <c r="G222" s="146" t="s">
        <v>22</v>
      </c>
      <c r="H222" s="159" t="n">
        <v>7</v>
      </c>
      <c r="I222" s="148" t="n">
        <v>4</v>
      </c>
      <c r="J222" s="148" t="n">
        <v>4</v>
      </c>
      <c r="K222" s="149" t="n">
        <v>2995.4</v>
      </c>
      <c r="L222" s="149" t="n">
        <f aca="false">M222+N222</f>
        <v>2096.78</v>
      </c>
      <c r="M222" s="149"/>
      <c r="N222" s="190" t="n">
        <v>2096.78</v>
      </c>
      <c r="O222" s="151" t="n">
        <v>4</v>
      </c>
      <c r="P222" s="149" t="n">
        <v>3636.77</v>
      </c>
      <c r="Q222" s="149" t="n">
        <f aca="false">R222+S222</f>
        <v>3636.77</v>
      </c>
      <c r="R222" s="149"/>
      <c r="S222" s="190" t="n">
        <v>3636.77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218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4052.6</v>
      </c>
      <c r="L223" s="155" t="n">
        <f aca="false">M223+N223</f>
        <v>0</v>
      </c>
      <c r="M223" s="155"/>
      <c r="N223" s="156"/>
      <c r="O223" s="157" t="n">
        <v>2</v>
      </c>
      <c r="P223" s="155" t="n">
        <v>4493.1</v>
      </c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145</v>
      </c>
      <c r="C224" s="35" t="s">
        <v>20</v>
      </c>
      <c r="D224" s="35"/>
      <c r="E224" s="35" t="s">
        <v>98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71"/>
      <c r="G225" s="164" t="s">
        <v>23</v>
      </c>
      <c r="H225" s="175"/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146</v>
      </c>
      <c r="C226" s="19" t="s">
        <v>20</v>
      </c>
      <c r="D226" s="19"/>
      <c r="E226" s="19" t="s">
        <v>25</v>
      </c>
      <c r="F226" s="22"/>
      <c r="G226" s="146" t="s">
        <v>22</v>
      </c>
      <c r="H226" s="173" t="n">
        <v>6</v>
      </c>
      <c r="I226" s="148" t="n">
        <v>4</v>
      </c>
      <c r="J226" s="148" t="n">
        <v>4</v>
      </c>
      <c r="K226" s="149" t="n">
        <v>2819.2</v>
      </c>
      <c r="L226" s="149" t="n">
        <f aca="false">M226+N226</f>
        <v>2819.2</v>
      </c>
      <c r="M226" s="149" t="n">
        <v>352.4</v>
      </c>
      <c r="N226" s="190" t="n">
        <v>2466.8</v>
      </c>
      <c r="O226" s="206" t="n">
        <v>1</v>
      </c>
      <c r="P226" s="149" t="n">
        <v>1546.68</v>
      </c>
      <c r="Q226" s="149" t="n">
        <f aca="false">R226+S226</f>
        <v>1546.68</v>
      </c>
      <c r="R226" s="149" t="n">
        <v>1546.68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219</v>
      </c>
      <c r="G227" s="152" t="s">
        <v>26</v>
      </c>
      <c r="H227" s="176"/>
      <c r="I227" s="154"/>
      <c r="J227" s="154"/>
      <c r="K227" s="155"/>
      <c r="L227" s="155" t="n">
        <f aca="false">M227+N227</f>
        <v>0</v>
      </c>
      <c r="M227" s="155" t="n">
        <v>0</v>
      </c>
      <c r="N227" s="156"/>
      <c r="O227" s="209" t="n">
        <v>1</v>
      </c>
      <c r="P227" s="155" t="n">
        <v>1585.8</v>
      </c>
      <c r="Q227" s="155" t="n">
        <f aca="false">R227+S227</f>
        <v>1585.8</v>
      </c>
      <c r="R227" s="155" t="n">
        <v>1585.8</v>
      </c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147</v>
      </c>
      <c r="C228" s="56" t="s">
        <v>20</v>
      </c>
      <c r="D228" s="56"/>
      <c r="E228" s="56" t="s">
        <v>25</v>
      </c>
      <c r="F228" s="97"/>
      <c r="G228" s="146" t="s">
        <v>22</v>
      </c>
      <c r="H228" s="159" t="n">
        <v>3</v>
      </c>
      <c r="I228" s="160" t="n">
        <v>3</v>
      </c>
      <c r="J228" s="160" t="n">
        <v>3</v>
      </c>
      <c r="K228" s="161" t="n">
        <v>2093.26</v>
      </c>
      <c r="L228" s="161" t="n">
        <f aca="false">M228+N228</f>
        <v>2093.26</v>
      </c>
      <c r="M228" s="161"/>
      <c r="N228" s="190" t="n">
        <v>2093.26</v>
      </c>
      <c r="O228" s="163" t="n">
        <v>4</v>
      </c>
      <c r="P228" s="161" t="n">
        <v>16436.74</v>
      </c>
      <c r="Q228" s="161" t="n">
        <f aca="false">R228+S228</f>
        <v>16436.74</v>
      </c>
      <c r="R228" s="161"/>
      <c r="S228" s="190" t="n">
        <v>16436.74</v>
      </c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26" t="s">
        <v>220</v>
      </c>
      <c r="G229" s="152" t="s">
        <v>26</v>
      </c>
      <c r="H229" s="171" t="n">
        <v>8</v>
      </c>
      <c r="I229" s="154" t="n">
        <v>1</v>
      </c>
      <c r="J229" s="154" t="n">
        <v>1</v>
      </c>
      <c r="K229" s="155" t="n">
        <v>6167</v>
      </c>
      <c r="L229" s="189" t="n">
        <f aca="false">M229+N229</f>
        <v>528.6</v>
      </c>
      <c r="M229" s="155" t="n">
        <v>0</v>
      </c>
      <c r="N229" s="167" t="n">
        <v>528.6</v>
      </c>
      <c r="O229" s="157" t="n">
        <v>5</v>
      </c>
      <c r="P229" s="155" t="n">
        <v>13038.8</v>
      </c>
      <c r="Q229" s="161" t="n">
        <f aca="false">R229+S229</f>
        <v>13743.6</v>
      </c>
      <c r="R229" s="155" t="n">
        <f aca="false">7048+528.6</f>
        <v>7576.6</v>
      </c>
      <c r="S229" s="156" t="n">
        <v>6167</v>
      </c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17"/>
      <c r="B230" s="18" t="s">
        <v>148</v>
      </c>
      <c r="C230" s="19" t="s">
        <v>20</v>
      </c>
      <c r="D230" s="19"/>
      <c r="E230" s="19" t="s">
        <v>21</v>
      </c>
      <c r="F230" s="22"/>
      <c r="G230" s="146" t="s">
        <v>22</v>
      </c>
      <c r="H230" s="173" t="n">
        <v>2</v>
      </c>
      <c r="I230" s="148" t="n">
        <v>1</v>
      </c>
      <c r="J230" s="148" t="n">
        <v>1</v>
      </c>
      <c r="K230" s="149" t="n">
        <v>436.1</v>
      </c>
      <c r="L230" s="149" t="n">
        <f aca="false">M230+N230</f>
        <v>0</v>
      </c>
      <c r="M230" s="149"/>
      <c r="N230" s="198"/>
      <c r="O230" s="151" t="n">
        <v>1</v>
      </c>
      <c r="P230" s="149" t="n">
        <v>13232.99</v>
      </c>
      <c r="Q230" s="149" t="n">
        <f aca="false">R230+S230</f>
        <v>0</v>
      </c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248</v>
      </c>
      <c r="G231" s="152" t="s">
        <v>23</v>
      </c>
      <c r="H231" s="171" t="n">
        <v>2</v>
      </c>
      <c r="I231" s="154"/>
      <c r="J231" s="154"/>
      <c r="K231" s="155"/>
      <c r="L231" s="155" t="n">
        <f aca="false">M231+N231</f>
        <v>0</v>
      </c>
      <c r="M231" s="155"/>
      <c r="N231" s="156"/>
      <c r="O231" s="157" t="n">
        <v>1</v>
      </c>
      <c r="P231" s="155" t="n">
        <v>572.65</v>
      </c>
      <c r="Q231" s="155" t="n">
        <v>572.65</v>
      </c>
      <c r="R231" s="155" t="n">
        <v>572.65</v>
      </c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99"/>
      <c r="B232" s="100" t="s">
        <v>149</v>
      </c>
      <c r="C232" s="100"/>
      <c r="D232" s="100"/>
      <c r="E232" s="100"/>
      <c r="F232" s="100"/>
      <c r="G232" s="212"/>
      <c r="H232" s="213" t="n">
        <f aca="false">SUM(H9:H231)</f>
        <v>1112</v>
      </c>
      <c r="I232" s="214" t="n">
        <f aca="false">SUM(I9:I231)</f>
        <v>523</v>
      </c>
      <c r="J232" s="214" t="n">
        <f aca="false">SUM(J9:J231)</f>
        <v>578</v>
      </c>
      <c r="K232" s="215" t="n">
        <f aca="false">SUM(K9:K231)</f>
        <v>782352.61</v>
      </c>
      <c r="L232" s="215" t="n">
        <f aca="false">SUM(L9:L231)</f>
        <v>316881.51</v>
      </c>
      <c r="M232" s="215" t="n">
        <f aca="false">SUM(M9:M231)</f>
        <v>177564.95</v>
      </c>
      <c r="N232" s="243" t="n">
        <f aca="false">SUM(N9:N231)</f>
        <v>139316.56</v>
      </c>
      <c r="O232" s="244" t="n">
        <f aca="false">SUM(O9:O231)</f>
        <v>742</v>
      </c>
      <c r="P232" s="245" t="n">
        <f aca="false">SUM(P9:P231)</f>
        <v>2118906.06</v>
      </c>
      <c r="Q232" s="245" t="n">
        <f aca="false">SUM(Q9:Q231)</f>
        <v>1239053.52</v>
      </c>
      <c r="R232" s="245" t="n">
        <f aca="false">SUM(R9:R231)</f>
        <v>835978.1</v>
      </c>
      <c r="S232" s="246" t="n">
        <f aca="false">SUM(S9:S231)</f>
        <v>403075.42</v>
      </c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I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2"/>
      <c r="B236" s="2"/>
      <c r="C236" s="2"/>
      <c r="D236" s="2"/>
      <c r="E236" s="2"/>
      <c r="F236" s="103"/>
      <c r="G236" s="104" t="s">
        <v>5</v>
      </c>
      <c r="H236" s="104"/>
      <c r="I236" s="104"/>
      <c r="J236" s="104"/>
      <c r="K236" s="104"/>
      <c r="L236" s="104"/>
      <c r="M236" s="104"/>
      <c r="N236" s="104" t="s">
        <v>6</v>
      </c>
      <c r="O236" s="104"/>
      <c r="P236" s="104"/>
      <c r="Q236" s="104"/>
      <c r="R236" s="104"/>
      <c r="S236" s="105" t="s">
        <v>150</v>
      </c>
      <c r="T236" s="105" t="s">
        <v>253</v>
      </c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103"/>
      <c r="G237" s="106" t="s">
        <v>13</v>
      </c>
      <c r="H237" s="106" t="s">
        <v>14</v>
      </c>
      <c r="I237" s="106" t="s">
        <v>15</v>
      </c>
      <c r="J237" s="106" t="s">
        <v>226</v>
      </c>
      <c r="K237" s="106" t="s">
        <v>16</v>
      </c>
      <c r="L237" s="106" t="s">
        <v>17</v>
      </c>
      <c r="M237" s="106" t="s">
        <v>18</v>
      </c>
      <c r="N237" s="106" t="s">
        <v>15</v>
      </c>
      <c r="O237" s="106" t="s">
        <v>226</v>
      </c>
      <c r="P237" s="106" t="s">
        <v>16</v>
      </c>
      <c r="Q237" s="106" t="s">
        <v>17</v>
      </c>
      <c r="R237" s="106" t="s">
        <v>18</v>
      </c>
      <c r="S237" s="105"/>
      <c r="T237" s="105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107" t="s">
        <v>22</v>
      </c>
      <c r="G238" s="108" t="n">
        <f aca="false">SUMIF($G$9:$G$231,$F$238,H9:H231)</f>
        <v>700</v>
      </c>
      <c r="H238" s="108" t="n">
        <f aca="false">SUMIF($G$9:$G$231,$F$238,I9:I231)</f>
        <v>425</v>
      </c>
      <c r="I238" s="108" t="n">
        <f aca="false">SUMIF($G$9:$G$231,$F$238,J9:J231)</f>
        <v>481</v>
      </c>
      <c r="J238" s="110" t="n">
        <f aca="false">SUMIF($G$9:$G$231,F238,$K$9:$K$231)</f>
        <v>622508.19</v>
      </c>
      <c r="K238" s="110" t="n">
        <f aca="false">SUMIF($G$9:$G$231,$F$238,L9:L231)</f>
        <v>288808.51</v>
      </c>
      <c r="L238" s="110" t="n">
        <f aca="false">SUMIF($G$9:$G$231,$F$238,M9:M231)</f>
        <v>164845.09</v>
      </c>
      <c r="M238" s="110" t="n">
        <f aca="false">SUMIF($G$9:$G$231,$F$238,N9:N231)</f>
        <v>123963.42</v>
      </c>
      <c r="N238" s="108" t="n">
        <f aca="false">SUMIF($G$9:$G$231,$F$238,O9:O231)</f>
        <v>518</v>
      </c>
      <c r="O238" s="110" t="n">
        <f aca="false">SUMIF($G$9:$G$231,F238,$P$9:$P$231)</f>
        <v>1511962.95</v>
      </c>
      <c r="P238" s="110" t="n">
        <f aca="false">SUMIF($G$9:$G$231,$F$238,Q9:Q231)</f>
        <v>962343.08</v>
      </c>
      <c r="Q238" s="110" t="n">
        <f aca="false">SUMIF($G$9:$G$231,$F$238,R9:R231)</f>
        <v>708713.06</v>
      </c>
      <c r="R238" s="110" t="n">
        <f aca="false">SUMIF($G$9:$G$231,$F$238,S9:S231)</f>
        <v>253630.02</v>
      </c>
      <c r="S238" s="110" t="n">
        <f aca="false">Q238+L238</f>
        <v>873558.15</v>
      </c>
      <c r="T238" s="111" t="n">
        <f aca="false">J238-L238+O238-Q238</f>
        <v>1260912.99</v>
      </c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107" t="s">
        <v>26</v>
      </c>
      <c r="G239" s="108" t="n">
        <f aca="false">SUMIF($G$9:$G$231,$F$239,H9:H231)</f>
        <v>248</v>
      </c>
      <c r="H239" s="108" t="n">
        <v>20</v>
      </c>
      <c r="I239" s="108" t="n">
        <f aca="false">SUMIF($G$9:$G$231,$F$239,J9:J231)</f>
        <v>53</v>
      </c>
      <c r="J239" s="110" t="n">
        <f aca="false">SUMIF($G$9:$G$231,F239,$K$9:$K$231)</f>
        <v>111080.82</v>
      </c>
      <c r="K239" s="110" t="n">
        <f aca="false">SUMIF($G$9:$G$231,$F$239,L9:L231)</f>
        <v>20672.6</v>
      </c>
      <c r="L239" s="110" t="n">
        <f aca="false">SUMIF($G$9:$G$231,$F$239,M9:M231)</f>
        <v>5319.46</v>
      </c>
      <c r="M239" s="110" t="n">
        <f aca="false">SUMIF($G$9:$G$231,$F$239,N9:N231)</f>
        <v>15353.14</v>
      </c>
      <c r="N239" s="108" t="n">
        <f aca="false">SUMIF($G$9:$G$231,$F$239,O9:O231)</f>
        <v>153</v>
      </c>
      <c r="O239" s="110" t="n">
        <f aca="false">SUMIF($G$9:$G$231,F239,$P$9:$P$231)</f>
        <v>443129.8</v>
      </c>
      <c r="P239" s="110" t="n">
        <f aca="false">SUMIF($G$9:$G$231,$F$239,Q9:Q231)</f>
        <v>244249.89</v>
      </c>
      <c r="Q239" s="110" t="n">
        <f aca="false">SUMIF($G$9:$G$231,$F$239,R9:R231)</f>
        <v>94804.49</v>
      </c>
      <c r="R239" s="110" t="n">
        <f aca="false">SUMIF($G$9:$G$231,$F$239,S9:S231)</f>
        <v>149445.4</v>
      </c>
      <c r="S239" s="110" t="n">
        <f aca="false">Q239+L239</f>
        <v>100123.95</v>
      </c>
      <c r="T239" s="111" t="n">
        <f aca="false">J239-L239+O239-Q239</f>
        <v>454086.67</v>
      </c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107" t="s">
        <v>23</v>
      </c>
      <c r="G240" s="108" t="n">
        <f aca="false">SUMIF($G$9:$G$231,$F$240,H9:H231)</f>
        <v>164</v>
      </c>
      <c r="H240" s="108" t="n">
        <f aca="false">SUMIF($G$9:$G$231,$F$240,I9:I231)</f>
        <v>44</v>
      </c>
      <c r="I240" s="108" t="n">
        <f aca="false">SUMIF($G$9:$G$231,$F$240,J9:J231)</f>
        <v>44</v>
      </c>
      <c r="J240" s="110" t="n">
        <f aca="false">SUMIF($G$9:$G$231,F240,$K$9:$K$231)</f>
        <v>48763.6</v>
      </c>
      <c r="K240" s="110" t="n">
        <f aca="false">SUMIF($G$9:$G$231,$F$240,L9:L231)</f>
        <v>7400.4</v>
      </c>
      <c r="L240" s="110" t="n">
        <f aca="false">SUMIF($G$9:$G$231,$F$240,M9:M231)</f>
        <v>7400.4</v>
      </c>
      <c r="M240" s="110" t="n">
        <f aca="false">SUMIF($G$9:$G$231,$F$240,N9:N231)</f>
        <v>0</v>
      </c>
      <c r="N240" s="108" t="n">
        <f aca="false">SUMIF($G$9:$G$231,$F$240,O9:O231)</f>
        <v>71</v>
      </c>
      <c r="O240" s="110" t="n">
        <f aca="false">SUMIF($G$9:$G$231,F240,$P$9:$P$231)</f>
        <v>163813.31</v>
      </c>
      <c r="P240" s="110" t="n">
        <f aca="false">SUMIF($G$9:$G$231,$F$240,Q9:Q231)</f>
        <v>32460.55</v>
      </c>
      <c r="Q240" s="110" t="n">
        <f aca="false">SUMIF($G$9:$G$231,$F$240,R9:R231)</f>
        <v>32460.55</v>
      </c>
      <c r="R240" s="110" t="n">
        <f aca="false">SUMIF($G$9:$G$231,$F$240,S9:S231)</f>
        <v>0</v>
      </c>
      <c r="S240" s="110" t="n">
        <f aca="false">Q240+L240</f>
        <v>39860.95</v>
      </c>
      <c r="T240" s="111" t="n">
        <f aca="false">J240-L240+O240-Q240</f>
        <v>172715.96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16" t="n">
        <f aca="false">G240+G239+G238</f>
        <v>1112</v>
      </c>
      <c r="H241" s="216" t="n">
        <f aca="false">H240+H239+H238</f>
        <v>489</v>
      </c>
      <c r="I241" s="216" t="n">
        <f aca="false">I240+I239+I238</f>
        <v>578</v>
      </c>
      <c r="J241" s="217" t="n">
        <f aca="false">J240+J239+J238</f>
        <v>782352.61</v>
      </c>
      <c r="K241" s="217" t="n">
        <f aca="false">K240+K239+K238</f>
        <v>316881.51</v>
      </c>
      <c r="L241" s="217" t="n">
        <f aca="false">L240+L239+L238</f>
        <v>177564.95</v>
      </c>
      <c r="M241" s="217" t="n">
        <f aca="false">M240+M239+M238</f>
        <v>139316.56</v>
      </c>
      <c r="N241" s="216" t="n">
        <f aca="false">N240+N239+N238</f>
        <v>742</v>
      </c>
      <c r="O241" s="217" t="n">
        <f aca="false">O240+O239+O238</f>
        <v>2118906.06</v>
      </c>
      <c r="P241" s="217" t="n">
        <f aca="false">P240+P239+P238</f>
        <v>1239053.52</v>
      </c>
      <c r="Q241" s="217" t="n">
        <f aca="false">Q240+Q239+Q238</f>
        <v>835978.1</v>
      </c>
      <c r="R241" s="217" t="n">
        <f aca="false">R240+R239+R238</f>
        <v>403075.42</v>
      </c>
      <c r="S241" s="217" t="n">
        <f aca="false">S240+S239+S238</f>
        <v>1013543.05</v>
      </c>
      <c r="T241" s="217" t="n">
        <f aca="false">T240+T239+T238</f>
        <v>1887715.62</v>
      </c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K275" s="236"/>
    </row>
    <row r="276" customFormat="false" ht="15" hidden="false" customHeight="false" outlineLevel="0" collapsed="false">
      <c r="K276" s="236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F302" s="0" t="s">
        <v>22</v>
      </c>
      <c r="G302" s="0" t="n">
        <v>700</v>
      </c>
      <c r="H302" s="0" t="n">
        <v>424</v>
      </c>
      <c r="I302" s="0" t="n">
        <v>480</v>
      </c>
      <c r="J302" s="0" t="n">
        <v>621620</v>
      </c>
      <c r="K302" s="236"/>
      <c r="N302" s="0" t="n">
        <v>514</v>
      </c>
      <c r="O302" s="0" t="n">
        <v>1499015.65</v>
      </c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</sheetData>
  <mergeCells count="55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9"/>
    <mergeCell ref="B167:B169"/>
    <mergeCell ref="C167:C169"/>
    <mergeCell ref="D167:D169"/>
    <mergeCell ref="E167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B176:B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F236:F237"/>
    <mergeCell ref="G236:M236"/>
    <mergeCell ref="N236:R236"/>
    <mergeCell ref="S236:S237"/>
    <mergeCell ref="T236:T237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1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24236.65</v>
      </c>
      <c r="R9" s="149" t="n">
        <v>2037.73</v>
      </c>
      <c r="S9" s="190" t="n">
        <v>22198.92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 t="n">
        <v>1</v>
      </c>
      <c r="J10" s="154" t="n">
        <v>1</v>
      </c>
      <c r="K10" s="155" t="n">
        <v>528.6</v>
      </c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14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9438.15</v>
      </c>
      <c r="N11" s="239" t="n">
        <v>19018.76</v>
      </c>
      <c r="O11" s="151" t="n">
        <v>7</v>
      </c>
      <c r="P11" s="149" t="n">
        <v>30607.11</v>
      </c>
      <c r="Q11" s="149" t="n">
        <f aca="false">R11+S11</f>
        <v>30607.11</v>
      </c>
      <c r="R11" s="149" t="n">
        <v>21512.99</v>
      </c>
      <c r="S11" s="150" t="n">
        <v>9094.12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/>
      <c r="S12" s="156" t="n">
        <v>2466.8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20</v>
      </c>
      <c r="I13" s="148" t="n">
        <v>14</v>
      </c>
      <c r="J13" s="148" t="n">
        <v>20</v>
      </c>
      <c r="K13" s="149" t="n">
        <v>22535.38</v>
      </c>
      <c r="L13" s="149" t="n">
        <f aca="false">M13+N13</f>
        <v>22535.38</v>
      </c>
      <c r="M13" s="149" t="n">
        <v>22535.38</v>
      </c>
      <c r="N13" s="190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2</v>
      </c>
      <c r="J14" s="154" t="n">
        <v>2</v>
      </c>
      <c r="K14" s="155" t="n">
        <v>1938.2</v>
      </c>
      <c r="L14" s="155" t="n">
        <f aca="false">M14+N14</f>
        <v>1938.2</v>
      </c>
      <c r="M14" s="155" t="n">
        <v>0</v>
      </c>
      <c r="N14" s="156" t="n">
        <v>1938.2</v>
      </c>
      <c r="O14" s="209" t="n">
        <v>5</v>
      </c>
      <c r="P14" s="155" t="n">
        <v>7221.2</v>
      </c>
      <c r="Q14" s="155" t="n">
        <f aca="false">R14+S14</f>
        <v>10916.3</v>
      </c>
      <c r="R14" s="155" t="n">
        <f aca="false">1585.8+2106.3</f>
        <v>3692.1</v>
      </c>
      <c r="S14" s="167" t="n">
        <v>7224.2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10924.4</v>
      </c>
      <c r="R16" s="166"/>
      <c r="S16" s="167" t="n">
        <v>10924.4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3</v>
      </c>
      <c r="I18" s="154" t="n">
        <v>1</v>
      </c>
      <c r="J18" s="154" t="n">
        <v>1</v>
      </c>
      <c r="K18" s="155" t="n">
        <v>704.8</v>
      </c>
      <c r="L18" s="155" t="n">
        <f aca="false">M18+N18</f>
        <v>704.8</v>
      </c>
      <c r="M18" s="155"/>
      <c r="N18" s="226" t="n">
        <v>704.8</v>
      </c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12</v>
      </c>
      <c r="I19" s="160" t="n">
        <v>4</v>
      </c>
      <c r="J19" s="160" t="n">
        <v>4</v>
      </c>
      <c r="K19" s="161" t="n">
        <v>4012.08</v>
      </c>
      <c r="L19" s="161" t="n">
        <f aca="false">M19+N19</f>
        <v>4012.08</v>
      </c>
      <c r="M19" s="161"/>
      <c r="N19" s="190" t="n">
        <v>4012.08</v>
      </c>
      <c r="O19" s="163" t="n">
        <v>14</v>
      </c>
      <c r="P19" s="161" t="n">
        <v>24738.16</v>
      </c>
      <c r="Q19" s="161" t="n">
        <f aca="false">R19+S19</f>
        <v>17766.28</v>
      </c>
      <c r="R19" s="161" t="n">
        <v>9903.11</v>
      </c>
      <c r="S19" s="190" t="n">
        <v>7863.17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19</v>
      </c>
      <c r="I21" s="160" t="n">
        <v>12</v>
      </c>
      <c r="J21" s="160" t="n">
        <v>17</v>
      </c>
      <c r="K21" s="161" t="n">
        <v>20666.49</v>
      </c>
      <c r="L21" s="161" t="n">
        <f aca="false">M21+N21</f>
        <v>15483.57</v>
      </c>
      <c r="M21" s="161" t="n">
        <v>7998.6</v>
      </c>
      <c r="N21" s="190" t="n">
        <v>7484.97</v>
      </c>
      <c r="O21" s="151" t="n">
        <v>16</v>
      </c>
      <c r="P21" s="149" t="n">
        <v>29046.42</v>
      </c>
      <c r="Q21" s="149" t="n">
        <f aca="false">R21+S21</f>
        <v>21911.73</v>
      </c>
      <c r="R21" s="149" t="n">
        <v>13470.86</v>
      </c>
      <c r="S21" s="198" t="n">
        <v>8440.87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1</v>
      </c>
      <c r="P22" s="155" t="n">
        <v>704.8</v>
      </c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11</v>
      </c>
      <c r="I23" s="148" t="n">
        <v>8</v>
      </c>
      <c r="J23" s="148" t="n">
        <v>8</v>
      </c>
      <c r="K23" s="148" t="n">
        <v>2378.7</v>
      </c>
      <c r="L23" s="149" t="n">
        <f aca="false">M23+N23</f>
        <v>0</v>
      </c>
      <c r="M23" s="149"/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16</v>
      </c>
      <c r="I25" s="160" t="n">
        <v>11</v>
      </c>
      <c r="J25" s="160" t="n">
        <v>15</v>
      </c>
      <c r="K25" s="161" t="n">
        <v>22403.43</v>
      </c>
      <c r="L25" s="161" t="n">
        <f aca="false">M25+N25</f>
        <v>21522.43</v>
      </c>
      <c r="M25" s="161" t="n">
        <v>10416.76</v>
      </c>
      <c r="N25" s="190" t="n">
        <v>11105.67</v>
      </c>
      <c r="O25" s="151" t="n">
        <v>7</v>
      </c>
      <c r="P25" s="149" t="n">
        <v>12143.43</v>
      </c>
      <c r="Q25" s="149" t="n">
        <f aca="false">R25+S25</f>
        <v>10769.07</v>
      </c>
      <c r="R25" s="149" t="n">
        <v>9706.58</v>
      </c>
      <c r="S25" s="198" t="n">
        <v>1062.49</v>
      </c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 t="n">
        <v>2</v>
      </c>
      <c r="J26" s="165" t="n">
        <v>2</v>
      </c>
      <c r="K26" s="166" t="n">
        <v>1409.6</v>
      </c>
      <c r="L26" s="166" t="n">
        <f aca="false">M26+N26</f>
        <v>0</v>
      </c>
      <c r="M26" s="166"/>
      <c r="N26" s="156"/>
      <c r="O26" s="157" t="n">
        <v>7</v>
      </c>
      <c r="P26" s="155" t="n">
        <v>17972.4</v>
      </c>
      <c r="Q26" s="155" t="n">
        <f aca="false">R26+S26</f>
        <v>15505.6</v>
      </c>
      <c r="R26" s="155"/>
      <c r="S26" s="156" t="n">
        <v>15505.6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/>
      <c r="N28" s="156" t="n">
        <v>4052.6</v>
      </c>
      <c r="O28" s="157" t="n">
        <v>5</v>
      </c>
      <c r="P28" s="155" t="n">
        <v>19381.4</v>
      </c>
      <c r="Q28" s="155" t="n">
        <f aca="false">R28+S28</f>
        <v>7576.6</v>
      </c>
      <c r="R28" s="155" t="n">
        <f aca="false">5286+2290.6</f>
        <v>7576.6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 t="s">
        <v>20</v>
      </c>
      <c r="D29" s="19"/>
      <c r="E29" s="19" t="s">
        <v>278</v>
      </c>
      <c r="F29" s="20"/>
      <c r="G29" s="146" t="s">
        <v>22</v>
      </c>
      <c r="H29" s="147" t="n">
        <v>6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10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 t="n">
        <v>2</v>
      </c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3</v>
      </c>
      <c r="I32" s="154"/>
      <c r="J32" s="154"/>
      <c r="K32" s="155"/>
      <c r="L32" s="155" t="n">
        <f aca="false">M32+N32</f>
        <v>704.8</v>
      </c>
      <c r="M32" s="155"/>
      <c r="N32" s="156" t="n">
        <v>704.8</v>
      </c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8</v>
      </c>
      <c r="I35" s="160" t="n">
        <v>6</v>
      </c>
      <c r="J35" s="160" t="n">
        <v>6</v>
      </c>
      <c r="K35" s="161" t="n">
        <v>9138.09</v>
      </c>
      <c r="L35" s="161" t="n">
        <f aca="false">M35+N35</f>
        <v>9138.09</v>
      </c>
      <c r="M35" s="161" t="n">
        <v>4815.55</v>
      </c>
      <c r="N35" s="190" t="n">
        <v>4322.54</v>
      </c>
      <c r="O35" s="151" t="n">
        <v>10</v>
      </c>
      <c r="P35" s="149" t="n">
        <v>39637.95</v>
      </c>
      <c r="Q35" s="149" t="n">
        <f aca="false">R35+S35</f>
        <v>39637.95</v>
      </c>
      <c r="R35" s="149" t="n">
        <v>17818.29</v>
      </c>
      <c r="S35" s="198" t="n">
        <v>21819.66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2</v>
      </c>
      <c r="J36" s="154" t="n">
        <v>2</v>
      </c>
      <c r="K36" s="155" t="n">
        <v>4933.6</v>
      </c>
      <c r="L36" s="155" t="n">
        <f aca="false">M36+N36</f>
        <v>1233.4</v>
      </c>
      <c r="M36" s="155"/>
      <c r="N36" s="156" t="n">
        <v>1233.4</v>
      </c>
      <c r="O36" s="157" t="n">
        <v>5</v>
      </c>
      <c r="P36" s="155" t="n">
        <v>13567.4</v>
      </c>
      <c r="Q36" s="155" t="n">
        <f aca="false">R36+S36</f>
        <v>7400.4</v>
      </c>
      <c r="R36" s="155"/>
      <c r="S36" s="156" t="n">
        <v>7400.4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9</v>
      </c>
      <c r="I37" s="160" t="n">
        <v>9</v>
      </c>
      <c r="J37" s="160" t="n">
        <v>11</v>
      </c>
      <c r="K37" s="161" t="n">
        <v>26775.53</v>
      </c>
      <c r="L37" s="161" t="n">
        <f aca="false">M37+N37</f>
        <v>17227.7</v>
      </c>
      <c r="M37" s="161" t="n">
        <v>1924.1</v>
      </c>
      <c r="N37" s="190" t="n">
        <v>15303.6</v>
      </c>
      <c r="O37" s="151" t="n">
        <v>14</v>
      </c>
      <c r="P37" s="149" t="n">
        <v>54101.29</v>
      </c>
      <c r="Q37" s="149" t="n">
        <f aca="false">R37+S37</f>
        <v>52304.25</v>
      </c>
      <c r="R37" s="149" t="n">
        <v>15233.45</v>
      </c>
      <c r="S37" s="198" t="n">
        <v>37070.8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7</v>
      </c>
      <c r="I39" s="148" t="n">
        <v>1</v>
      </c>
      <c r="J39" s="148" t="n">
        <v>1</v>
      </c>
      <c r="K39" s="149" t="n">
        <v>621.99</v>
      </c>
      <c r="L39" s="149" t="n">
        <f aca="false">M39+N39</f>
        <v>621.99</v>
      </c>
      <c r="M39" s="149"/>
      <c r="N39" s="190" t="n">
        <v>621.99</v>
      </c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3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10849.9</v>
      </c>
      <c r="R40" s="166"/>
      <c r="S40" s="167" t="n">
        <v>10849.9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 t="n">
        <v>2</v>
      </c>
      <c r="I41" s="148"/>
      <c r="J41" s="148"/>
      <c r="K41" s="149"/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12699.01</v>
      </c>
      <c r="R41" s="149" t="n">
        <v>4593.81</v>
      </c>
      <c r="S41" s="198" t="n">
        <v>8105.2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2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157" t="n">
        <v>4</v>
      </c>
      <c r="P42" s="155" t="n">
        <v>11981.6</v>
      </c>
      <c r="Q42" s="155" t="n">
        <f aca="false">R42+S42</f>
        <v>11981.6</v>
      </c>
      <c r="R42" s="155" t="n">
        <f aca="false">528.6</f>
        <v>528.6</v>
      </c>
      <c r="S42" s="156" t="n">
        <v>11453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5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41</v>
      </c>
      <c r="I47" s="148" t="n">
        <v>39</v>
      </c>
      <c r="J47" s="148" t="n">
        <v>39</v>
      </c>
      <c r="K47" s="149" t="n">
        <v>34720.47</v>
      </c>
      <c r="L47" s="149" t="n">
        <f aca="false">M47+N47</f>
        <v>34720.47</v>
      </c>
      <c r="M47" s="149" t="n">
        <v>14941.16</v>
      </c>
      <c r="N47" s="190" t="n">
        <v>19779.31</v>
      </c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1409.6</v>
      </c>
      <c r="M48" s="155"/>
      <c r="N48" s="156" t="n">
        <v>1409.6</v>
      </c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12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11601.93</v>
      </c>
      <c r="M49" s="161" t="n">
        <v>1830.37</v>
      </c>
      <c r="N49" s="190" t="n">
        <v>9771.56</v>
      </c>
      <c r="O49" s="151" t="n">
        <v>17</v>
      </c>
      <c r="P49" s="149" t="n">
        <v>61726.54</v>
      </c>
      <c r="Q49" s="149" t="n">
        <f aca="false">R49+S49</f>
        <v>47845.54</v>
      </c>
      <c r="R49" s="149" t="n">
        <v>34571.95</v>
      </c>
      <c r="S49" s="198" t="n">
        <v>13273.59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18745.92</v>
      </c>
      <c r="R51" s="161" t="n">
        <v>3805.92</v>
      </c>
      <c r="S51" s="190" t="n">
        <v>14940</v>
      </c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/>
      <c r="J52" s="165"/>
      <c r="K52" s="166"/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</f>
        <v>5081.89</v>
      </c>
      <c r="S52" s="156" t="n">
        <v>13038.8</v>
      </c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5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 t="n">
        <v>43131.21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56"/>
      <c r="O54" s="168"/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/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/>
      <c r="J56" s="154"/>
      <c r="K56" s="155"/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10</v>
      </c>
      <c r="I57" s="160" t="n">
        <v>6</v>
      </c>
      <c r="J57" s="160" t="n">
        <v>6</v>
      </c>
      <c r="K57" s="161" t="n">
        <v>6422.49</v>
      </c>
      <c r="L57" s="161" t="n">
        <f aca="false">M57+N57</f>
        <v>5893.89</v>
      </c>
      <c r="M57" s="161"/>
      <c r="N57" s="190" t="n">
        <v>5893.89</v>
      </c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 t="s">
        <v>20</v>
      </c>
      <c r="D59" s="19"/>
      <c r="E59" s="19" t="s">
        <v>278</v>
      </c>
      <c r="F59" s="20"/>
      <c r="G59" s="146" t="s">
        <v>22</v>
      </c>
      <c r="H59" s="173" t="n">
        <v>7</v>
      </c>
      <c r="I59" s="148" t="n">
        <v>2</v>
      </c>
      <c r="J59" s="148" t="n">
        <v>2</v>
      </c>
      <c r="K59" s="149" t="n">
        <v>5127.42</v>
      </c>
      <c r="L59" s="149" t="n">
        <f aca="false">M59+N59</f>
        <v>3717.82</v>
      </c>
      <c r="M59" s="149"/>
      <c r="N59" s="190" t="n">
        <v>3717.82</v>
      </c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4</v>
      </c>
      <c r="I60" s="154"/>
      <c r="J60" s="154"/>
      <c r="K60" s="155"/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9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7830.33</v>
      </c>
      <c r="M61" s="161" t="n">
        <v>2238.62</v>
      </c>
      <c r="N61" s="190" t="n">
        <v>5591.71</v>
      </c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3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 t="s">
        <v>20</v>
      </c>
      <c r="D65" s="78"/>
      <c r="E65" s="56" t="s">
        <v>279</v>
      </c>
      <c r="F65" s="38"/>
      <c r="G65" s="158" t="s">
        <v>22</v>
      </c>
      <c r="H65" s="169" t="n">
        <v>14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0</v>
      </c>
      <c r="M65" s="161"/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2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2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 t="n">
        <v>881</v>
      </c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 t="s">
        <v>33</v>
      </c>
      <c r="D73" s="19" t="s">
        <v>280</v>
      </c>
      <c r="E73" s="19" t="s">
        <v>259</v>
      </c>
      <c r="F73" s="20"/>
      <c r="G73" s="146" t="s">
        <v>22</v>
      </c>
      <c r="H73" s="173" t="n">
        <v>7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19</v>
      </c>
      <c r="I74" s="154" t="n">
        <v>6</v>
      </c>
      <c r="J74" s="154" t="n">
        <v>6</v>
      </c>
      <c r="K74" s="155" t="n">
        <v>6370.8</v>
      </c>
      <c r="L74" s="155" t="n">
        <f aca="false">M74+N74</f>
        <v>0</v>
      </c>
      <c r="M74" s="155"/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4510.72</v>
      </c>
      <c r="M75" s="161" t="n">
        <v>1691.52</v>
      </c>
      <c r="N75" s="190" t="n">
        <v>2819.2</v>
      </c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1</v>
      </c>
      <c r="J76" s="165" t="n">
        <v>1</v>
      </c>
      <c r="K76" s="166" t="n">
        <v>704.8</v>
      </c>
      <c r="L76" s="166" t="n">
        <f aca="false">M76+N76</f>
        <v>704.8</v>
      </c>
      <c r="M76" s="166"/>
      <c r="N76" s="156" t="n">
        <v>704.8</v>
      </c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1162.92</v>
      </c>
      <c r="L77" s="149" t="n">
        <f aca="false">M77+N77</f>
        <v>0</v>
      </c>
      <c r="M77" s="149"/>
      <c r="N77" s="190"/>
      <c r="O77" s="151" t="n">
        <v>8</v>
      </c>
      <c r="P77" s="149" t="n">
        <v>28069.07</v>
      </c>
      <c r="Q77" s="149" t="n">
        <f aca="false">R77+S77</f>
        <v>16379.75</v>
      </c>
      <c r="R77" s="149" t="n">
        <v>8726.55</v>
      </c>
      <c r="S77" s="190" t="n">
        <v>7653.2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1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6</v>
      </c>
      <c r="I81" s="148" t="n">
        <v>2</v>
      </c>
      <c r="J81" s="148" t="n">
        <v>3</v>
      </c>
      <c r="K81" s="149" t="n">
        <v>3057.07</v>
      </c>
      <c r="L81" s="149" t="n">
        <f aca="false">M81+N81</f>
        <v>1573.47</v>
      </c>
      <c r="M81" s="149" t="n">
        <v>1573.47</v>
      </c>
      <c r="N81" s="190"/>
      <c r="O81" s="151" t="n">
        <v>5</v>
      </c>
      <c r="P81" s="149" t="n">
        <v>14207.76</v>
      </c>
      <c r="Q81" s="149" t="n">
        <f aca="false">R81+S81</f>
        <v>8219.9</v>
      </c>
      <c r="R81" s="149" t="n">
        <v>8219.9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30</v>
      </c>
      <c r="I82" s="165" t="n">
        <v>19</v>
      </c>
      <c r="J82" s="165" t="n">
        <v>19</v>
      </c>
      <c r="K82" s="166" t="n">
        <v>20720.2</v>
      </c>
      <c r="L82" s="166" t="n">
        <v>139.05</v>
      </c>
      <c r="M82" s="166" t="n">
        <v>139.05</v>
      </c>
      <c r="N82" s="156" t="n">
        <v>1799.15</v>
      </c>
      <c r="O82" s="168" t="n">
        <v>23</v>
      </c>
      <c r="P82" s="166" t="n">
        <v>55900.62</v>
      </c>
      <c r="Q82" s="166" t="n">
        <v>9955.3</v>
      </c>
      <c r="R82" s="166" t="n">
        <v>9955.3</v>
      </c>
      <c r="S82" s="156" t="n">
        <v>2290.6</v>
      </c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3</v>
      </c>
      <c r="I83" s="148" t="n">
        <v>1</v>
      </c>
      <c r="J83" s="148" t="n">
        <v>2</v>
      </c>
      <c r="K83" s="149" t="n">
        <v>4177.7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5</v>
      </c>
      <c r="I84" s="165" t="n">
        <v>1</v>
      </c>
      <c r="J84" s="165" t="n">
        <v>1</v>
      </c>
      <c r="K84" s="166" t="n">
        <v>2290.6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5</v>
      </c>
      <c r="I85" s="148" t="n">
        <v>2</v>
      </c>
      <c r="J85" s="148" t="n">
        <v>2</v>
      </c>
      <c r="K85" s="149" t="n">
        <v>4105.29</v>
      </c>
      <c r="L85" s="149" t="n">
        <f aca="false">M85+N85</f>
        <v>888.19</v>
      </c>
      <c r="M85" s="149"/>
      <c r="N85" s="190" t="n">
        <v>888.19</v>
      </c>
      <c r="O85" s="151" t="n">
        <v>12</v>
      </c>
      <c r="P85" s="149" t="n">
        <v>21614.18</v>
      </c>
      <c r="Q85" s="149" t="n">
        <f aca="false">R85+S85</f>
        <v>19442.54</v>
      </c>
      <c r="R85" s="149" t="n">
        <v>16202.52</v>
      </c>
      <c r="S85" s="190" t="n">
        <v>3240.02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3</v>
      </c>
      <c r="I86" s="154" t="n">
        <v>1</v>
      </c>
      <c r="J86" s="154" t="n">
        <v>1</v>
      </c>
      <c r="K86" s="235" t="n">
        <v>2718.2</v>
      </c>
      <c r="L86" s="155" t="n">
        <f aca="false">M86+N86</f>
        <v>2819.2</v>
      </c>
      <c r="M86" s="155"/>
      <c r="N86" s="156" t="n">
        <v>2819.2</v>
      </c>
      <c r="O86" s="157"/>
      <c r="P86" s="155" t="n">
        <v>5462.2</v>
      </c>
      <c r="Q86" s="155" t="n">
        <f aca="false">R86+S86</f>
        <v>4405</v>
      </c>
      <c r="R86" s="155"/>
      <c r="S86" s="156" t="n">
        <v>4405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5521.12</v>
      </c>
      <c r="R87" s="161"/>
      <c r="S87" s="190" t="n">
        <v>5521.12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4</v>
      </c>
      <c r="I88" s="154" t="n">
        <v>1</v>
      </c>
      <c r="J88" s="154" t="n">
        <v>1</v>
      </c>
      <c r="K88" s="155" t="n">
        <v>1409.6</v>
      </c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2848.8</v>
      </c>
      <c r="L89" s="161" t="n">
        <f aca="false">M89+N89</f>
        <v>0</v>
      </c>
      <c r="M89" s="161"/>
      <c r="N89" s="190"/>
      <c r="O89" s="163" t="n">
        <v>3</v>
      </c>
      <c r="P89" s="161" t="n">
        <v>27324.13</v>
      </c>
      <c r="Q89" s="161" t="n">
        <f aca="false">R89+S89</f>
        <v>27324.13</v>
      </c>
      <c r="R89" s="161" t="n">
        <v>21210.6</v>
      </c>
      <c r="S89" s="190" t="n">
        <v>6113.53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 t="n">
        <v>1</v>
      </c>
      <c r="J90" s="165" t="n">
        <v>1</v>
      </c>
      <c r="K90" s="166" t="n">
        <v>704.8</v>
      </c>
      <c r="L90" s="161" t="n">
        <f aca="false">M90+N90</f>
        <v>704.8</v>
      </c>
      <c r="M90" s="166" t="n">
        <v>0</v>
      </c>
      <c r="N90" s="156" t="n">
        <v>704.8</v>
      </c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8641.68</f>
        <v>8641.68</v>
      </c>
      <c r="S90" s="156" t="n">
        <f aca="false">3347.8</f>
        <v>3347.8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4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2277.26</v>
      </c>
      <c r="M91" s="149" t="n">
        <v>2277.26</v>
      </c>
      <c r="N91" s="190"/>
      <c r="O91" s="151" t="n">
        <v>2</v>
      </c>
      <c r="P91" s="149" t="n">
        <v>3239.04</v>
      </c>
      <c r="Q91" s="149" t="n">
        <f aca="false">R91+S91</f>
        <v>3239.04</v>
      </c>
      <c r="R91" s="149" t="n">
        <v>3239.04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5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/>
      <c r="N92" s="156" t="n">
        <v>5109.8</v>
      </c>
      <c r="O92" s="157" t="n">
        <v>1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21</v>
      </c>
      <c r="I93" s="160" t="n">
        <v>14</v>
      </c>
      <c r="J93" s="160" t="n">
        <v>15</v>
      </c>
      <c r="K93" s="161" t="n">
        <v>20159.67</v>
      </c>
      <c r="L93" s="161" t="n">
        <f aca="false">M93+N93</f>
        <v>10561.52</v>
      </c>
      <c r="M93" s="161"/>
      <c r="N93" s="190" t="n">
        <v>10561.52</v>
      </c>
      <c r="O93" s="163" t="n">
        <v>21</v>
      </c>
      <c r="P93" s="161" t="n">
        <v>46869.6</v>
      </c>
      <c r="Q93" s="161" t="n">
        <f aca="false">R93+S93</f>
        <v>40347.41</v>
      </c>
      <c r="R93" s="161" t="n">
        <v>22350.87</v>
      </c>
      <c r="S93" s="190" t="n">
        <v>17996.54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21936.9</v>
      </c>
      <c r="R94" s="166"/>
      <c r="S94" s="156" t="n">
        <v>21936.9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13</v>
      </c>
      <c r="I95" s="148" t="n">
        <v>9</v>
      </c>
      <c r="J95" s="148" t="n">
        <v>9</v>
      </c>
      <c r="K95" s="149" t="n">
        <v>5563.84</v>
      </c>
      <c r="L95" s="149" t="n">
        <f aca="false">M95+N95</f>
        <v>5035.24</v>
      </c>
      <c r="M95" s="149" t="n">
        <v>599.08</v>
      </c>
      <c r="N95" s="190" t="n">
        <v>4436.16</v>
      </c>
      <c r="O95" s="151" t="n">
        <v>2</v>
      </c>
      <c r="P95" s="149" t="n">
        <v>12380.09</v>
      </c>
      <c r="Q95" s="149" t="n">
        <f aca="false">R95+S95</f>
        <v>12380.09</v>
      </c>
      <c r="R95" s="149" t="n">
        <v>3600.4</v>
      </c>
      <c r="S95" s="190" t="n">
        <v>8779.69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6</v>
      </c>
      <c r="P96" s="166" t="n">
        <v>8457.6</v>
      </c>
      <c r="Q96" s="166" t="n">
        <f aca="false">R96+S96</f>
        <v>6167</v>
      </c>
      <c r="R96" s="166"/>
      <c r="S96" s="156" t="n">
        <v>6167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8</v>
      </c>
      <c r="I97" s="148" t="n">
        <v>7</v>
      </c>
      <c r="J97" s="148" t="n">
        <v>7</v>
      </c>
      <c r="K97" s="149" t="n">
        <v>4148.63</v>
      </c>
      <c r="L97" s="149" t="n">
        <f aca="false">M97+N97</f>
        <v>2293.24</v>
      </c>
      <c r="M97" s="149" t="n">
        <v>2293.24</v>
      </c>
      <c r="N97" s="190"/>
      <c r="O97" s="151" t="n">
        <v>5</v>
      </c>
      <c r="P97" s="149" t="n">
        <v>8651.42</v>
      </c>
      <c r="Q97" s="149" t="n">
        <f aca="false">R97+S97</f>
        <v>1673.9</v>
      </c>
      <c r="R97" s="149" t="n">
        <v>1673.9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2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6</v>
      </c>
      <c r="P98" s="182" t="n">
        <v>19029.6</v>
      </c>
      <c r="Q98" s="182" t="n">
        <f aca="false">R98+S98</f>
        <v>8986.2</v>
      </c>
      <c r="R98" s="182" t="n">
        <f aca="false">1057.2+2290.6</f>
        <v>3347.8</v>
      </c>
      <c r="S98" s="167" t="n">
        <v>5638.4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 t="n">
        <v>3</v>
      </c>
      <c r="J99" s="154" t="n">
        <v>3</v>
      </c>
      <c r="K99" s="155" t="n">
        <v>7973.05</v>
      </c>
      <c r="L99" s="155" t="n">
        <f aca="false">M99+N99</f>
        <v>0</v>
      </c>
      <c r="M99" s="155"/>
      <c r="N99" s="156"/>
      <c r="O99" s="157" t="n">
        <v>6</v>
      </c>
      <c r="P99" s="155" t="n">
        <v>8281.4</v>
      </c>
      <c r="Q99" s="155" t="n">
        <v>3524</v>
      </c>
      <c r="R99" s="155" t="n">
        <v>3524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5452.69</v>
      </c>
      <c r="M100" s="161" t="n">
        <v>5452.69</v>
      </c>
      <c r="N100" s="190"/>
      <c r="O100" s="163" t="n">
        <v>7</v>
      </c>
      <c r="P100" s="161" t="n">
        <v>34500.95</v>
      </c>
      <c r="Q100" s="161" t="n">
        <f aca="false">R100+S100</f>
        <v>29718.63</v>
      </c>
      <c r="R100" s="161" t="n">
        <v>29718.63</v>
      </c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5</v>
      </c>
      <c r="I102" s="148" t="n">
        <v>3</v>
      </c>
      <c r="J102" s="148" t="n">
        <v>3</v>
      </c>
      <c r="K102" s="149" t="n">
        <v>5612.43</v>
      </c>
      <c r="L102" s="149" t="n">
        <f aca="false">M102+N102</f>
        <v>3473.61</v>
      </c>
      <c r="M102" s="149" t="n">
        <v>3473.61</v>
      </c>
      <c r="N102" s="190"/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12611.29</v>
      </c>
      <c r="M104" s="149" t="n">
        <v>2195.46</v>
      </c>
      <c r="N104" s="190" t="n">
        <v>10415.83</v>
      </c>
      <c r="O104" s="151" t="n">
        <v>2</v>
      </c>
      <c r="P104" s="149" t="n">
        <v>8372.97</v>
      </c>
      <c r="Q104" s="149" t="n">
        <f aca="false">R104+S104</f>
        <v>8372.97</v>
      </c>
      <c r="R104" s="149" t="n">
        <v>1321.5</v>
      </c>
      <c r="S104" s="190" t="n">
        <v>7051.47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/>
      <c r="J105" s="165"/>
      <c r="K105" s="166"/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9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6281.55</v>
      </c>
      <c r="M108" s="161" t="n">
        <v>704.8</v>
      </c>
      <c r="N108" s="190" t="n">
        <v>5576.75</v>
      </c>
      <c r="O108" s="163" t="n">
        <v>3</v>
      </c>
      <c r="P108" s="161" t="n">
        <v>10582.46</v>
      </c>
      <c r="Q108" s="161" t="n">
        <f aca="false">R108+S108</f>
        <v>5828.06</v>
      </c>
      <c r="R108" s="161" t="n">
        <v>5828.06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3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19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12299.99</v>
      </c>
      <c r="M110" s="161" t="n">
        <v>1569.94</v>
      </c>
      <c r="N110" s="190" t="n">
        <v>10730.05</v>
      </c>
      <c r="O110" s="163" t="n">
        <v>20</v>
      </c>
      <c r="P110" s="161" t="n">
        <v>33342.82</v>
      </c>
      <c r="Q110" s="161" t="n">
        <f aca="false">R110+S110</f>
        <v>32814.22</v>
      </c>
      <c r="R110" s="161" t="n">
        <v>24550.45</v>
      </c>
      <c r="S110" s="190" t="n">
        <v>8263.77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 t="n">
        <v>1</v>
      </c>
      <c r="J112" s="148" t="n">
        <v>1</v>
      </c>
      <c r="K112" s="149" t="n">
        <v>528.6</v>
      </c>
      <c r="L112" s="149" t="n">
        <f aca="false">M112+N112</f>
        <v>528.6</v>
      </c>
      <c r="M112" s="149"/>
      <c r="N112" s="190" t="n">
        <v>528.6</v>
      </c>
      <c r="O112" s="151" t="n">
        <v>1</v>
      </c>
      <c r="P112" s="149" t="n">
        <v>1162.92</v>
      </c>
      <c r="Q112" s="149" t="n">
        <f aca="false">R112+S112</f>
        <v>1162.92</v>
      </c>
      <c r="R112" s="149"/>
      <c r="S112" s="190" t="n">
        <v>1162.92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17</v>
      </c>
      <c r="I114" s="148" t="n">
        <v>12</v>
      </c>
      <c r="J114" s="148" t="n">
        <v>13</v>
      </c>
      <c r="K114" s="149" t="n">
        <v>11971.66</v>
      </c>
      <c r="L114" s="149" t="n">
        <f aca="false">M114+N114</f>
        <v>6747.33</v>
      </c>
      <c r="M114" s="149" t="n">
        <v>6747.33</v>
      </c>
      <c r="N114" s="190"/>
      <c r="O114" s="151" t="n">
        <v>15</v>
      </c>
      <c r="P114" s="149" t="n">
        <v>19146</v>
      </c>
      <c r="Q114" s="149" t="n">
        <f aca="false">R114+S114</f>
        <v>8224.14</v>
      </c>
      <c r="R114" s="149" t="n">
        <v>8224.14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16</v>
      </c>
      <c r="I115" s="165" t="n">
        <v>5</v>
      </c>
      <c r="J115" s="165" t="n">
        <v>5</v>
      </c>
      <c r="K115" s="166" t="n">
        <v>7048</v>
      </c>
      <c r="L115" s="166" t="n">
        <v>2995.4</v>
      </c>
      <c r="M115" s="166" t="n">
        <v>2995.4</v>
      </c>
      <c r="N115" s="156"/>
      <c r="O115" s="168" t="n">
        <v>9</v>
      </c>
      <c r="P115" s="166" t="n">
        <v>22817.9</v>
      </c>
      <c r="Q115" s="166" t="n">
        <v>6255.1</v>
      </c>
      <c r="R115" s="166" t="n">
        <v>6255.1</v>
      </c>
      <c r="S115" s="156" t="n">
        <v>6695.6</v>
      </c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17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8527.08</v>
      </c>
      <c r="M116" s="149"/>
      <c r="N116" s="190" t="n">
        <v>8527.08</v>
      </c>
      <c r="O116" s="151" t="n">
        <v>14</v>
      </c>
      <c r="P116" s="149" t="n">
        <v>48557.24</v>
      </c>
      <c r="Q116" s="149" t="n">
        <f aca="false">R116+S116</f>
        <v>24491.76</v>
      </c>
      <c r="R116" s="149" t="n">
        <v>24491.76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17</v>
      </c>
      <c r="I118" s="160" t="n">
        <v>3</v>
      </c>
      <c r="J118" s="160" t="n">
        <v>3</v>
      </c>
      <c r="K118" s="161" t="n">
        <v>4915.98</v>
      </c>
      <c r="L118" s="161" t="n">
        <f aca="false">M118+N118</f>
        <v>3805.92</v>
      </c>
      <c r="M118" s="161" t="n">
        <v>3805.92</v>
      </c>
      <c r="N118" s="190"/>
      <c r="O118" s="163" t="n">
        <v>8</v>
      </c>
      <c r="P118" s="161" t="n">
        <v>55873.9</v>
      </c>
      <c r="Q118" s="161" t="n">
        <f aca="false">R118+S118</f>
        <v>27118.06</v>
      </c>
      <c r="R118" s="161" t="n">
        <v>27118.06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1</v>
      </c>
      <c r="K120" s="166" t="n">
        <v>2290.6</v>
      </c>
      <c r="L120" s="166" t="n">
        <f aca="false">M120+N120</f>
        <v>2290.6</v>
      </c>
      <c r="M120" s="166" t="n">
        <v>2266.65</v>
      </c>
      <c r="N120" s="156" t="n">
        <v>23.95</v>
      </c>
      <c r="O120" s="168" t="n">
        <v>6</v>
      </c>
      <c r="P120" s="166" t="n">
        <v>29143.12</v>
      </c>
      <c r="Q120" s="166" t="n">
        <f aca="false">R120+S120</f>
        <v>29167.43</v>
      </c>
      <c r="R120" s="166" t="n">
        <v>29167.43</v>
      </c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6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5</v>
      </c>
      <c r="J123" s="160" t="n">
        <v>6</v>
      </c>
      <c r="K123" s="161" t="n">
        <v>5246.27</v>
      </c>
      <c r="L123" s="161" t="n">
        <f aca="false">M123+N123</f>
        <v>2133.78</v>
      </c>
      <c r="M123" s="161" t="n">
        <v>1436.03</v>
      </c>
      <c r="N123" s="190" t="n">
        <v>697.75</v>
      </c>
      <c r="O123" s="163" t="n">
        <v>8</v>
      </c>
      <c r="P123" s="161" t="n">
        <v>22461.42</v>
      </c>
      <c r="Q123" s="161" t="n">
        <f aca="false">R123+S123</f>
        <v>17787.53</v>
      </c>
      <c r="R123" s="161" t="n">
        <v>7694.53</v>
      </c>
      <c r="S123" s="190" t="n">
        <v>10093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10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3</v>
      </c>
      <c r="P124" s="155" t="n">
        <v>6871.8</v>
      </c>
      <c r="Q124" s="155" t="n">
        <f aca="false">R124+S124</f>
        <v>1585.8</v>
      </c>
      <c r="R124" s="155"/>
      <c r="S124" s="156" t="n">
        <v>1585.8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6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2223.64</v>
      </c>
      <c r="M127" s="149" t="n">
        <v>1569.94</v>
      </c>
      <c r="N127" s="190" t="n">
        <v>653.7</v>
      </c>
      <c r="O127" s="151" t="n">
        <v>6</v>
      </c>
      <c r="P127" s="149" t="n">
        <v>19174.92</v>
      </c>
      <c r="Q127" s="149" t="n">
        <f aca="false">R127+S127</f>
        <v>19174.92</v>
      </c>
      <c r="R127" s="149" t="n">
        <v>14088.14</v>
      </c>
      <c r="S127" s="190" t="n">
        <v>5086.78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11</v>
      </c>
      <c r="I128" s="165" t="n">
        <v>6</v>
      </c>
      <c r="J128" s="165" t="n">
        <v>6</v>
      </c>
      <c r="K128" s="166" t="n">
        <v>3171.6</v>
      </c>
      <c r="L128" s="166" t="n">
        <v>1409.6</v>
      </c>
      <c r="M128" s="166" t="n">
        <v>1409.6</v>
      </c>
      <c r="N128" s="156"/>
      <c r="O128" s="168" t="n">
        <v>9</v>
      </c>
      <c r="P128" s="166" t="n">
        <v>24491.8</v>
      </c>
      <c r="Q128" s="166" t="n">
        <v>1233.4</v>
      </c>
      <c r="R128" s="166" t="n">
        <v>1233.4</v>
      </c>
      <c r="S128" s="156" t="n">
        <v>3700.2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13</v>
      </c>
      <c r="I129" s="148" t="n">
        <v>6</v>
      </c>
      <c r="J129" s="148" t="n">
        <v>7</v>
      </c>
      <c r="K129" s="149" t="n">
        <v>14834.62</v>
      </c>
      <c r="L129" s="149" t="n">
        <f aca="false">M129+N129</f>
        <v>6364.34</v>
      </c>
      <c r="M129" s="149" t="n">
        <v>6364.34</v>
      </c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10</v>
      </c>
      <c r="I130" s="188" t="n">
        <v>2</v>
      </c>
      <c r="J130" s="188" t="n">
        <v>2</v>
      </c>
      <c r="K130" s="189" t="n">
        <v>1409.6</v>
      </c>
      <c r="L130" s="189" t="n">
        <f aca="false">M130+N130</f>
        <v>0</v>
      </c>
      <c r="M130" s="189"/>
      <c r="N130" s="167"/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5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 t="n">
        <v>1</v>
      </c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19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4493.1</v>
      </c>
      <c r="M134" s="161" t="n">
        <v>2378.7</v>
      </c>
      <c r="N134" s="190" t="n">
        <v>2114.4</v>
      </c>
      <c r="O134" s="163" t="n">
        <v>19</v>
      </c>
      <c r="P134" s="161" t="n">
        <v>27295.59</v>
      </c>
      <c r="Q134" s="161" t="n">
        <f aca="false">R134+S134</f>
        <v>27295.59</v>
      </c>
      <c r="R134" s="161" t="n">
        <v>13947.56</v>
      </c>
      <c r="S134" s="190" t="n">
        <v>13348.03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7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2643</v>
      </c>
      <c r="M135" s="182"/>
      <c r="N135" s="167" t="n">
        <v>2643</v>
      </c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2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3968.46</v>
      </c>
      <c r="M137" s="149"/>
      <c r="N137" s="190" t="n">
        <v>3968.46</v>
      </c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12</v>
      </c>
      <c r="I139" s="160" t="n">
        <v>11</v>
      </c>
      <c r="J139" s="160" t="n">
        <v>11</v>
      </c>
      <c r="K139" s="161" t="n">
        <v>14377.92</v>
      </c>
      <c r="L139" s="161" t="n">
        <f aca="false">M139+N139</f>
        <v>14377.92</v>
      </c>
      <c r="M139" s="161" t="n">
        <v>1057.2</v>
      </c>
      <c r="N139" s="190" t="n">
        <v>13320.72</v>
      </c>
      <c r="O139" s="163" t="n">
        <v>6</v>
      </c>
      <c r="P139" s="161" t="n">
        <v>20530.3</v>
      </c>
      <c r="Q139" s="161" t="n">
        <f aca="false">R139+S139</f>
        <v>20530.3</v>
      </c>
      <c r="R139" s="161" t="n">
        <v>7521.1</v>
      </c>
      <c r="S139" s="190" t="n">
        <v>13009.2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3700.2</v>
      </c>
      <c r="M140" s="166"/>
      <c r="N140" s="156" t="n">
        <v>3700.2</v>
      </c>
      <c r="O140" s="168" t="n">
        <v>2</v>
      </c>
      <c r="P140" s="166" t="n">
        <v>5286</v>
      </c>
      <c r="Q140" s="166" t="n">
        <f aca="false">R140+S140</f>
        <v>6519.4</v>
      </c>
      <c r="R140" s="166"/>
      <c r="S140" s="156" t="n">
        <v>6519.4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0</v>
      </c>
      <c r="M141" s="149"/>
      <c r="N141" s="190"/>
      <c r="O141" s="151" t="n">
        <v>5</v>
      </c>
      <c r="P141" s="149" t="n">
        <v>20672.92</v>
      </c>
      <c r="Q141" s="149" t="n">
        <f aca="false">R141+S141</f>
        <v>19139.98</v>
      </c>
      <c r="R141" s="149" t="n">
        <v>19139.98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/>
      <c r="S142" s="156" t="n">
        <v>2290.6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 t="n">
        <v>1</v>
      </c>
      <c r="P143" s="161" t="n">
        <v>16576.02</v>
      </c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26" t="s">
        <v>281</v>
      </c>
      <c r="G144" s="152" t="s">
        <v>26</v>
      </c>
      <c r="H144" s="153"/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/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14967.24</v>
      </c>
      <c r="R145" s="161" t="n">
        <v>7780.05</v>
      </c>
      <c r="S145" s="190" t="n">
        <v>7187.19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5682.4</v>
      </c>
      <c r="R146" s="166" t="n">
        <f aca="false">881</f>
        <v>881</v>
      </c>
      <c r="S146" s="156" t="n">
        <v>4801.4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7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11519.11</v>
      </c>
      <c r="M147" s="149"/>
      <c r="N147" s="190" t="n">
        <v>11519.11</v>
      </c>
      <c r="O147" s="151" t="n">
        <v>18</v>
      </c>
      <c r="P147" s="149" t="n">
        <v>41995.18</v>
      </c>
      <c r="Q147" s="149" t="n">
        <f aca="false">R147+S147</f>
        <v>37928.86</v>
      </c>
      <c r="R147" s="149" t="n">
        <v>19516.74</v>
      </c>
      <c r="S147" s="190" t="n">
        <v>18412.12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9</v>
      </c>
      <c r="I148" s="165" t="n">
        <v>5</v>
      </c>
      <c r="J148" s="165" t="n">
        <v>5</v>
      </c>
      <c r="K148" s="166" t="n">
        <v>20333.48</v>
      </c>
      <c r="L148" s="166" t="n">
        <f aca="false">M148+N148</f>
        <v>4581.2</v>
      </c>
      <c r="M148" s="166"/>
      <c r="N148" s="156" t="n">
        <v>4581.2</v>
      </c>
      <c r="O148" s="157" t="n">
        <v>10</v>
      </c>
      <c r="P148" s="155" t="n">
        <v>30218.3</v>
      </c>
      <c r="Q148" s="155" t="n">
        <f aca="false">R148+S148</f>
        <v>30817.38</v>
      </c>
      <c r="R148" s="155" t="n">
        <v>15329.4</v>
      </c>
      <c r="S148" s="156" t="n">
        <v>15487.98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20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16881.73</v>
      </c>
      <c r="M149" s="149" t="n">
        <v>1494.18</v>
      </c>
      <c r="N149" s="190" t="n">
        <v>15387.55</v>
      </c>
      <c r="O149" s="163" t="n">
        <v>13</v>
      </c>
      <c r="P149" s="161" t="n">
        <v>44245.85</v>
      </c>
      <c r="Q149" s="161" t="n">
        <f aca="false">R149+S149</f>
        <v>44245.85</v>
      </c>
      <c r="R149" s="161" t="n">
        <v>19724.71</v>
      </c>
      <c r="S149" s="190" t="n">
        <v>24521.14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196</v>
      </c>
      <c r="G150" s="164" t="s">
        <v>26</v>
      </c>
      <c r="H150" s="175" t="n">
        <v>2</v>
      </c>
      <c r="I150" s="165" t="n">
        <v>1</v>
      </c>
      <c r="J150" s="165" t="n">
        <v>0</v>
      </c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240" t="s">
        <v>282</v>
      </c>
      <c r="C151" s="19" t="s">
        <v>33</v>
      </c>
      <c r="D151" s="19" t="s">
        <v>283</v>
      </c>
      <c r="E151" s="19" t="s">
        <v>284</v>
      </c>
      <c r="F151" s="20"/>
      <c r="G151" s="146" t="s">
        <v>22</v>
      </c>
      <c r="H151" s="173"/>
      <c r="I151" s="148"/>
      <c r="J151" s="148"/>
      <c r="K151" s="241"/>
      <c r="L151" s="241" t="n">
        <f aca="false">M151+N151</f>
        <v>0</v>
      </c>
      <c r="M151" s="241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240"/>
      <c r="C152" s="19"/>
      <c r="D152" s="19"/>
      <c r="E152" s="19"/>
      <c r="F152" s="26" t="s">
        <v>285</v>
      </c>
      <c r="G152" s="152" t="s">
        <v>23</v>
      </c>
      <c r="H152" s="174" t="n">
        <v>2</v>
      </c>
      <c r="I152" s="154"/>
      <c r="J152" s="154"/>
      <c r="K152" s="242"/>
      <c r="L152" s="242" t="n">
        <f aca="false">M152+N152</f>
        <v>0</v>
      </c>
      <c r="M152" s="242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112</v>
      </c>
      <c r="C153" s="35" t="s">
        <v>20</v>
      </c>
      <c r="D153" s="35" t="s">
        <v>197</v>
      </c>
      <c r="E153" s="35" t="s">
        <v>25</v>
      </c>
      <c r="F153" s="36"/>
      <c r="G153" s="158" t="s">
        <v>22</v>
      </c>
      <c r="H153" s="159" t="n">
        <v>8</v>
      </c>
      <c r="I153" s="160" t="n">
        <v>6</v>
      </c>
      <c r="J153" s="160" t="n">
        <v>7</v>
      </c>
      <c r="K153" s="140" t="n">
        <v>23292.74</v>
      </c>
      <c r="L153" s="140" t="n">
        <f aca="false">M153+N153</f>
        <v>9984.81</v>
      </c>
      <c r="M153" s="140" t="n">
        <v>9984.81</v>
      </c>
      <c r="N153" s="190"/>
      <c r="O153" s="163" t="n">
        <v>4</v>
      </c>
      <c r="P153" s="161" t="n">
        <v>20244.62</v>
      </c>
      <c r="Q153" s="161" t="n">
        <f aca="false">R153+S153</f>
        <v>1198.16</v>
      </c>
      <c r="R153" s="161" t="n">
        <v>1198.16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26" t="s">
        <v>198</v>
      </c>
      <c r="G154" s="152" t="s">
        <v>26</v>
      </c>
      <c r="H154" s="171" t="n">
        <v>2</v>
      </c>
      <c r="I154" s="165"/>
      <c r="J154" s="165"/>
      <c r="K154" s="166"/>
      <c r="L154" s="166" t="n">
        <f aca="false">M154+N154</f>
        <v>0</v>
      </c>
      <c r="M154" s="166"/>
      <c r="N154" s="156"/>
      <c r="O154" s="168" t="n">
        <v>1</v>
      </c>
      <c r="P154" s="166" t="n">
        <v>2114.4</v>
      </c>
      <c r="Q154" s="166" t="n">
        <f aca="false">R154+S154</f>
        <v>2114.4</v>
      </c>
      <c r="R154" s="166"/>
      <c r="S154" s="156" t="n">
        <v>2114.4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113</v>
      </c>
      <c r="C155" s="19" t="s">
        <v>20</v>
      </c>
      <c r="D155" s="19"/>
      <c r="E155" s="19" t="s">
        <v>31</v>
      </c>
      <c r="F155" s="36"/>
      <c r="G155" s="146" t="s">
        <v>22</v>
      </c>
      <c r="H155" s="159" t="n">
        <v>8</v>
      </c>
      <c r="I155" s="148" t="n">
        <v>6</v>
      </c>
      <c r="J155" s="148" t="n">
        <v>7</v>
      </c>
      <c r="K155" s="149" t="n">
        <v>13847.41</v>
      </c>
      <c r="L155" s="149" t="n">
        <f aca="false">M155+N155</f>
        <v>7903.02</v>
      </c>
      <c r="M155" s="149" t="n">
        <v>4858.85</v>
      </c>
      <c r="N155" s="190" t="n">
        <v>3044.17</v>
      </c>
      <c r="O155" s="151" t="n">
        <v>6</v>
      </c>
      <c r="P155" s="149" t="n">
        <v>12527.12</v>
      </c>
      <c r="Q155" s="149" t="n">
        <f aca="false">R155+S155</f>
        <v>3839.24</v>
      </c>
      <c r="R155" s="149" t="n">
        <v>3839.24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152" t="s">
        <v>26</v>
      </c>
      <c r="H156" s="153"/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114</v>
      </c>
      <c r="C157" s="35" t="s">
        <v>20</v>
      </c>
      <c r="D157" s="95"/>
      <c r="E157" s="35" t="s">
        <v>25</v>
      </c>
      <c r="F157" s="71"/>
      <c r="G157" s="146" t="s">
        <v>22</v>
      </c>
      <c r="H157" s="169" t="n">
        <v>1</v>
      </c>
      <c r="I157" s="160"/>
      <c r="J157" s="160"/>
      <c r="K157" s="161"/>
      <c r="L157" s="161" t="n">
        <f aca="false">M157+N157</f>
        <v>0</v>
      </c>
      <c r="M157" s="161"/>
      <c r="N157" s="190"/>
      <c r="O157" s="163" t="n">
        <v>3</v>
      </c>
      <c r="P157" s="161" t="n">
        <v>4574.09</v>
      </c>
      <c r="Q157" s="161" t="n">
        <f aca="false">R157+S157</f>
        <v>0</v>
      </c>
      <c r="R157" s="161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274</v>
      </c>
      <c r="G158" s="164" t="s">
        <v>26</v>
      </c>
      <c r="H158" s="175" t="n">
        <v>2</v>
      </c>
      <c r="I158" s="165" t="n">
        <v>1</v>
      </c>
      <c r="J158" s="165" t="n">
        <v>1</v>
      </c>
      <c r="K158" s="166" t="n">
        <v>2947.54</v>
      </c>
      <c r="L158" s="166" t="n">
        <f aca="false">M158+N158</f>
        <v>0</v>
      </c>
      <c r="M158" s="166"/>
      <c r="N158" s="156"/>
      <c r="O158" s="168"/>
      <c r="P158" s="166"/>
      <c r="Q158" s="166" t="n">
        <f aca="false">R158+S158</f>
        <v>0</v>
      </c>
      <c r="R158" s="166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243</v>
      </c>
      <c r="C159" s="219"/>
      <c r="D159" s="19"/>
      <c r="E159" s="19"/>
      <c r="F159" s="20"/>
      <c r="G159" s="146" t="s">
        <v>22</v>
      </c>
      <c r="H159" s="173" t="n">
        <v>1</v>
      </c>
      <c r="I159" s="148"/>
      <c r="J159" s="148"/>
      <c r="K159" s="149"/>
      <c r="L159" s="149" t="n">
        <f aca="false">M159+N159</f>
        <v>0</v>
      </c>
      <c r="M159" s="149"/>
      <c r="N159" s="190"/>
      <c r="O159" s="206"/>
      <c r="P159" s="149"/>
      <c r="Q159" s="149" t="n">
        <f aca="false">R159+S159</f>
        <v>0</v>
      </c>
      <c r="R159" s="149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26" t="s">
        <v>275</v>
      </c>
      <c r="G160" s="152" t="s">
        <v>26</v>
      </c>
      <c r="H160" s="174" t="n">
        <v>4</v>
      </c>
      <c r="I160" s="154" t="n">
        <v>1</v>
      </c>
      <c r="J160" s="154" t="n">
        <v>1</v>
      </c>
      <c r="K160" s="155" t="n">
        <v>528.6</v>
      </c>
      <c r="L160" s="155" t="n">
        <f aca="false">M160+N160</f>
        <v>3476.14</v>
      </c>
      <c r="M160" s="155"/>
      <c r="N160" s="156" t="n">
        <v>3476.14</v>
      </c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200</v>
      </c>
      <c r="C161" s="220"/>
      <c r="D161" s="56"/>
      <c r="E161" s="56"/>
      <c r="F161" s="36"/>
      <c r="G161" s="158" t="s">
        <v>22</v>
      </c>
      <c r="H161" s="159" t="n">
        <v>20</v>
      </c>
      <c r="I161" s="160" t="n">
        <v>17</v>
      </c>
      <c r="J161" s="160" t="n">
        <v>17</v>
      </c>
      <c r="K161" s="161" t="n">
        <v>14194.33</v>
      </c>
      <c r="L161" s="161" t="n">
        <f aca="false">M161+N161</f>
        <v>4517.24</v>
      </c>
      <c r="M161" s="161" t="n">
        <v>4517.24</v>
      </c>
      <c r="N161" s="190"/>
      <c r="O161" s="163"/>
      <c r="P161" s="161"/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57"/>
      <c r="G162" s="152" t="s">
        <v>26</v>
      </c>
      <c r="H162" s="174" t="n">
        <v>4</v>
      </c>
      <c r="I162" s="154" t="n">
        <v>3</v>
      </c>
      <c r="J162" s="154" t="n">
        <v>3</v>
      </c>
      <c r="K162" s="155" t="n">
        <v>4757.4</v>
      </c>
      <c r="L162" s="155" t="n">
        <f aca="false">M162+N162</f>
        <v>4757.4</v>
      </c>
      <c r="M162" s="155"/>
      <c r="N162" s="156" t="n">
        <v>4757.4</v>
      </c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115</v>
      </c>
      <c r="C163" s="56" t="s">
        <v>20</v>
      </c>
      <c r="D163" s="56"/>
      <c r="E163" s="56" t="s">
        <v>116</v>
      </c>
      <c r="F163" s="36"/>
      <c r="G163" s="158" t="s">
        <v>22</v>
      </c>
      <c r="H163" s="159" t="n">
        <v>12</v>
      </c>
      <c r="I163" s="160" t="n">
        <v>7</v>
      </c>
      <c r="J163" s="160" t="n">
        <v>8</v>
      </c>
      <c r="K163" s="161" t="n">
        <v>6070.98</v>
      </c>
      <c r="L163" s="161" t="n">
        <f aca="false">M163+N163</f>
        <v>6070.98</v>
      </c>
      <c r="M163" s="161" t="n">
        <v>2886.16</v>
      </c>
      <c r="N163" s="190" t="n">
        <v>3184.82</v>
      </c>
      <c r="O163" s="163" t="n">
        <v>14</v>
      </c>
      <c r="P163" s="161" t="n">
        <v>23342.26</v>
      </c>
      <c r="Q163" s="161" t="n">
        <f aca="false">R163+S163</f>
        <v>22208.41</v>
      </c>
      <c r="R163" s="161" t="n">
        <v>6775.76</v>
      </c>
      <c r="S163" s="190" t="n">
        <v>15432.65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42" t="s">
        <v>201</v>
      </c>
      <c r="G164" s="164" t="s">
        <v>26</v>
      </c>
      <c r="H164" s="172" t="n">
        <v>8</v>
      </c>
      <c r="I164" s="165" t="n">
        <v>2</v>
      </c>
      <c r="J164" s="165" t="n">
        <v>2</v>
      </c>
      <c r="K164" s="166" t="n">
        <v>5990.8</v>
      </c>
      <c r="L164" s="161" t="n">
        <f aca="false">M164+N164</f>
        <v>1585.8</v>
      </c>
      <c r="M164" s="166"/>
      <c r="N164" s="156" t="n">
        <v>1585.8</v>
      </c>
      <c r="O164" s="168" t="n">
        <v>8</v>
      </c>
      <c r="P164" s="166" t="n">
        <v>881</v>
      </c>
      <c r="Q164" s="166" t="n">
        <f aca="false">R164+S164</f>
        <v>6167</v>
      </c>
      <c r="R164" s="166" t="n">
        <f aca="false">881</f>
        <v>881</v>
      </c>
      <c r="S164" s="156" t="n">
        <v>5286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157</v>
      </c>
      <c r="C165" s="19"/>
      <c r="D165" s="19"/>
      <c r="E165" s="127"/>
      <c r="F165" s="22"/>
      <c r="G165" s="146" t="s">
        <v>22</v>
      </c>
      <c r="H165" s="147" t="n">
        <v>7</v>
      </c>
      <c r="I165" s="148" t="n">
        <v>1</v>
      </c>
      <c r="J165" s="148" t="n">
        <v>1</v>
      </c>
      <c r="K165" s="149" t="n">
        <v>3876.4</v>
      </c>
      <c r="L165" s="149" t="n">
        <f aca="false">M165+N165</f>
        <v>3876.4</v>
      </c>
      <c r="M165" s="149"/>
      <c r="N165" s="190" t="n">
        <v>3876.4</v>
      </c>
      <c r="O165" s="151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17"/>
      <c r="B166" s="18"/>
      <c r="C166" s="18"/>
      <c r="D166" s="18"/>
      <c r="E166" s="127"/>
      <c r="F166" s="26" t="s">
        <v>202</v>
      </c>
      <c r="G166" s="152" t="s">
        <v>26</v>
      </c>
      <c r="H166" s="176" t="n">
        <v>1</v>
      </c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1762</v>
      </c>
      <c r="R166" s="155"/>
      <c r="S166" s="156" t="n">
        <v>1762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117</v>
      </c>
      <c r="C167" s="35" t="s">
        <v>33</v>
      </c>
      <c r="D167" s="35" t="s">
        <v>118</v>
      </c>
      <c r="E167" s="74" t="s">
        <v>25</v>
      </c>
      <c r="F167" s="89"/>
      <c r="G167" s="158" t="s">
        <v>22</v>
      </c>
      <c r="H167" s="169"/>
      <c r="I167" s="160"/>
      <c r="J167" s="160"/>
      <c r="K167" s="161"/>
      <c r="L167" s="161" t="n">
        <f aca="false">M167+N167</f>
        <v>0</v>
      </c>
      <c r="M167" s="161"/>
      <c r="N167" s="190"/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33"/>
      <c r="B168" s="34"/>
      <c r="C168" s="34"/>
      <c r="D168" s="34"/>
      <c r="E168" s="34"/>
      <c r="F168" s="42"/>
      <c r="G168" s="158" t="s">
        <v>23</v>
      </c>
      <c r="H168" s="169"/>
      <c r="I168" s="160"/>
      <c r="J168" s="160"/>
      <c r="K168" s="161"/>
      <c r="L168" s="161" t="n">
        <f aca="false">M168+N168</f>
        <v>0</v>
      </c>
      <c r="M168" s="161"/>
      <c r="N168" s="167"/>
      <c r="O168" s="163"/>
      <c r="P168" s="161"/>
      <c r="Q168" s="161" t="n">
        <f aca="false">R168+S168</f>
        <v>0</v>
      </c>
      <c r="R168" s="161"/>
      <c r="S168" s="167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33"/>
      <c r="B169" s="34"/>
      <c r="C169" s="34"/>
      <c r="D169" s="34"/>
      <c r="E169" s="34"/>
      <c r="F169" s="42"/>
      <c r="G169" s="164" t="s">
        <v>26</v>
      </c>
      <c r="H169" s="153"/>
      <c r="I169" s="165"/>
      <c r="J169" s="165"/>
      <c r="K169" s="166"/>
      <c r="L169" s="166" t="n">
        <f aca="false">M169+N169</f>
        <v>0</v>
      </c>
      <c r="M169" s="166"/>
      <c r="N169" s="156"/>
      <c r="O169" s="168" t="n">
        <v>5</v>
      </c>
      <c r="P169" s="166" t="n">
        <v>4845.5</v>
      </c>
      <c r="Q169" s="166" t="n">
        <f aca="false">R169+S169</f>
        <v>1762</v>
      </c>
      <c r="R169" s="166" t="n">
        <v>1762</v>
      </c>
      <c r="S169" s="156" t="n">
        <v>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119</v>
      </c>
      <c r="C170" s="19" t="s">
        <v>20</v>
      </c>
      <c r="D170" s="19"/>
      <c r="E170" s="19" t="s">
        <v>25</v>
      </c>
      <c r="F170" s="20"/>
      <c r="G170" s="146" t="s">
        <v>22</v>
      </c>
      <c r="H170" s="169"/>
      <c r="I170" s="148"/>
      <c r="J170" s="148"/>
      <c r="K170" s="149"/>
      <c r="L170" s="149" t="n">
        <f aca="false">M170+N170</f>
        <v>0</v>
      </c>
      <c r="M170" s="149"/>
      <c r="N170" s="190"/>
      <c r="O170" s="151" t="n">
        <v>2</v>
      </c>
      <c r="P170" s="149" t="n">
        <v>2643</v>
      </c>
      <c r="Q170" s="149" t="n">
        <f aca="false">R170+S170</f>
        <v>2643</v>
      </c>
      <c r="R170" s="149" t="n">
        <v>2643</v>
      </c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42" t="s">
        <v>203</v>
      </c>
      <c r="G171" s="164" t="s">
        <v>26</v>
      </c>
      <c r="H171" s="175" t="n">
        <v>4</v>
      </c>
      <c r="I171" s="165" t="n">
        <v>2</v>
      </c>
      <c r="J171" s="165" t="n">
        <v>2</v>
      </c>
      <c r="K171" s="166" t="n">
        <v>1233.4</v>
      </c>
      <c r="L171" s="166" t="n">
        <f aca="false">M171+N171</f>
        <v>704.8</v>
      </c>
      <c r="M171" s="166" t="n">
        <v>0</v>
      </c>
      <c r="N171" s="156" t="n">
        <v>704.8</v>
      </c>
      <c r="O171" s="168" t="n">
        <v>2</v>
      </c>
      <c r="P171" s="166" t="n">
        <v>7576.6</v>
      </c>
      <c r="Q171" s="166" t="n">
        <f aca="false">R171+S171</f>
        <v>881</v>
      </c>
      <c r="R171" s="166" t="n">
        <f aca="false">881</f>
        <v>881</v>
      </c>
      <c r="S171" s="156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225</v>
      </c>
      <c r="C172" s="19"/>
      <c r="D172" s="19"/>
      <c r="E172" s="19"/>
      <c r="F172" s="20"/>
      <c r="G172" s="146" t="s">
        <v>22</v>
      </c>
      <c r="H172" s="147"/>
      <c r="I172" s="148"/>
      <c r="J172" s="148"/>
      <c r="K172" s="149"/>
      <c r="L172" s="149" t="n">
        <f aca="false">M172+N172</f>
        <v>0</v>
      </c>
      <c r="M172" s="149"/>
      <c r="N172" s="190"/>
      <c r="O172" s="151"/>
      <c r="P172" s="149"/>
      <c r="Q172" s="149" t="n">
        <f aca="false">R172+S172</f>
        <v>0</v>
      </c>
      <c r="R172" s="149"/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17"/>
      <c r="B173" s="18"/>
      <c r="C173" s="18"/>
      <c r="D173" s="18"/>
      <c r="E173" s="18"/>
      <c r="F173" s="26" t="s">
        <v>244</v>
      </c>
      <c r="G173" s="152" t="s">
        <v>23</v>
      </c>
      <c r="H173" s="176" t="n">
        <v>15</v>
      </c>
      <c r="I173" s="154"/>
      <c r="J173" s="154"/>
      <c r="K173" s="155"/>
      <c r="L173" s="155" t="n">
        <f aca="false">M173+N173</f>
        <v>0</v>
      </c>
      <c r="M173" s="155"/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54"/>
      <c r="B174" s="55" t="s">
        <v>120</v>
      </c>
      <c r="C174" s="56" t="s">
        <v>20</v>
      </c>
      <c r="D174" s="56"/>
      <c r="E174" s="56" t="s">
        <v>25</v>
      </c>
      <c r="F174" s="36"/>
      <c r="G174" s="158" t="s">
        <v>22</v>
      </c>
      <c r="H174" s="169"/>
      <c r="I174" s="160"/>
      <c r="J174" s="160"/>
      <c r="K174" s="161"/>
      <c r="L174" s="161" t="n">
        <f aca="false">M174+N174</f>
        <v>0</v>
      </c>
      <c r="M174" s="161"/>
      <c r="N174" s="190"/>
      <c r="O174" s="163" t="n">
        <v>3</v>
      </c>
      <c r="P174" s="161" t="n">
        <v>3063.78</v>
      </c>
      <c r="Q174" s="161" t="n">
        <f aca="false">R174+S174</f>
        <v>3063.78</v>
      </c>
      <c r="R174" s="161" t="n">
        <v>3063.78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/>
      <c r="C175" s="55"/>
      <c r="D175" s="55"/>
      <c r="E175" s="55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56"/>
      <c r="O175" s="168"/>
      <c r="P175" s="166"/>
      <c r="Q175" s="166" t="n">
        <f aca="false">R175+S175</f>
        <v>0</v>
      </c>
      <c r="R175" s="166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72"/>
      <c r="B176" s="18" t="s">
        <v>158</v>
      </c>
      <c r="C176" s="74"/>
      <c r="D176" s="56" t="s">
        <v>204</v>
      </c>
      <c r="E176" s="74"/>
      <c r="F176" s="53"/>
      <c r="G176" s="146" t="s">
        <v>22</v>
      </c>
      <c r="H176" s="195"/>
      <c r="I176" s="196"/>
      <c r="J176" s="196"/>
      <c r="K176" s="197"/>
      <c r="L176" s="197" t="n">
        <f aca="false">M176+N176</f>
        <v>0</v>
      </c>
      <c r="M176" s="197"/>
      <c r="N176" s="190"/>
      <c r="O176" s="199"/>
      <c r="P176" s="197"/>
      <c r="Q176" s="197" t="n">
        <f aca="false">R176+S176</f>
        <v>0</v>
      </c>
      <c r="R176" s="197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54"/>
      <c r="B177" s="18"/>
      <c r="C177" s="56"/>
      <c r="D177" s="56"/>
      <c r="E177" s="56"/>
      <c r="F177" s="138" t="s">
        <v>205</v>
      </c>
      <c r="G177" s="152" t="s">
        <v>26</v>
      </c>
      <c r="H177" s="153" t="n">
        <v>3</v>
      </c>
      <c r="I177" s="200" t="n">
        <v>2</v>
      </c>
      <c r="J177" s="200" t="n">
        <v>2</v>
      </c>
      <c r="K177" s="201" t="n">
        <v>3524</v>
      </c>
      <c r="L177" s="201" t="n">
        <f aca="false">M177+N177</f>
        <v>0</v>
      </c>
      <c r="M177" s="201"/>
      <c r="N177" s="156"/>
      <c r="O177" s="203"/>
      <c r="P177" s="201"/>
      <c r="Q177" s="201" t="n">
        <f aca="false">R177+S177</f>
        <v>0</v>
      </c>
      <c r="R177" s="201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33"/>
      <c r="B178" s="34" t="s">
        <v>152</v>
      </c>
      <c r="C178" s="35" t="s">
        <v>20</v>
      </c>
      <c r="D178" s="35"/>
      <c r="E178" s="35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4</v>
      </c>
      <c r="P178" s="161" t="n">
        <v>7400.4</v>
      </c>
      <c r="Q178" s="161" t="n">
        <f aca="false">R178+S178</f>
        <v>7400.4</v>
      </c>
      <c r="R178" s="161" t="n">
        <v>2819.2</v>
      </c>
      <c r="S178" s="190" t="n">
        <v>4581.2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206</v>
      </c>
      <c r="G179" s="164" t="s">
        <v>26</v>
      </c>
      <c r="H179" s="171" t="n">
        <v>4</v>
      </c>
      <c r="I179" s="165"/>
      <c r="J179" s="165"/>
      <c r="K179" s="166"/>
      <c r="L179" s="166" t="n">
        <v>0</v>
      </c>
      <c r="M179" s="166" t="n">
        <v>0</v>
      </c>
      <c r="N179" s="156"/>
      <c r="O179" s="168" t="n">
        <v>3</v>
      </c>
      <c r="P179" s="166" t="n">
        <v>5814.6</v>
      </c>
      <c r="Q179" s="161" t="n">
        <f aca="false">R179+S179</f>
        <v>6959.9</v>
      </c>
      <c r="R179" s="166" t="n">
        <v>2731.1</v>
      </c>
      <c r="S179" s="156" t="n">
        <v>4228.8</v>
      </c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122</v>
      </c>
      <c r="C180" s="19" t="s">
        <v>20</v>
      </c>
      <c r="D180" s="19"/>
      <c r="E180" s="19" t="s">
        <v>116</v>
      </c>
      <c r="F180" s="20"/>
      <c r="G180" s="146" t="s">
        <v>22</v>
      </c>
      <c r="H180" s="159" t="n">
        <v>23</v>
      </c>
      <c r="I180" s="148" t="n">
        <v>19</v>
      </c>
      <c r="J180" s="148" t="n">
        <v>23</v>
      </c>
      <c r="K180" s="149" t="n">
        <v>32759.12</v>
      </c>
      <c r="L180" s="149" t="n">
        <f aca="false">M180+N180</f>
        <v>11563.14</v>
      </c>
      <c r="M180" s="149" t="n">
        <v>11563.14</v>
      </c>
      <c r="N180" s="190"/>
      <c r="O180" s="151" t="n">
        <v>24</v>
      </c>
      <c r="P180" s="149" t="n">
        <v>61568.09</v>
      </c>
      <c r="Q180" s="149" t="n">
        <f aca="false">R180+S180</f>
        <v>38935.35</v>
      </c>
      <c r="R180" s="149" t="n">
        <v>38935.35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57"/>
      <c r="G181" s="152" t="s">
        <v>26</v>
      </c>
      <c r="H181" s="153"/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123</v>
      </c>
      <c r="C182" s="35" t="s">
        <v>20</v>
      </c>
      <c r="D182" s="35"/>
      <c r="E182" s="35" t="s">
        <v>25</v>
      </c>
      <c r="F182" s="36"/>
      <c r="G182" s="146" t="s">
        <v>22</v>
      </c>
      <c r="H182" s="159" t="n">
        <v>3</v>
      </c>
      <c r="I182" s="160" t="n">
        <v>3</v>
      </c>
      <c r="J182" s="160" t="n">
        <v>3</v>
      </c>
      <c r="K182" s="161" t="n">
        <v>2255.36</v>
      </c>
      <c r="L182" s="161" t="n">
        <f aca="false">M182+N182</f>
        <v>2255.36</v>
      </c>
      <c r="M182" s="161" t="n">
        <v>881</v>
      </c>
      <c r="N182" s="190" t="n">
        <v>1374.36</v>
      </c>
      <c r="O182" s="163" t="n">
        <v>6</v>
      </c>
      <c r="P182" s="161" t="n">
        <v>10868.41</v>
      </c>
      <c r="Q182" s="161" t="n">
        <f aca="false">R182+S182</f>
        <v>10868.41</v>
      </c>
      <c r="R182" s="161" t="n">
        <v>10269.33</v>
      </c>
      <c r="S182" s="190" t="n">
        <v>599.08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207</v>
      </c>
      <c r="G183" s="164" t="s">
        <v>26</v>
      </c>
      <c r="H183" s="153" t="n">
        <v>2</v>
      </c>
      <c r="I183" s="165"/>
      <c r="J183" s="165"/>
      <c r="K183" s="166"/>
      <c r="L183" s="161" t="n">
        <f aca="false">M183+N183</f>
        <v>0</v>
      </c>
      <c r="M183" s="166" t="n">
        <v>0</v>
      </c>
      <c r="N183" s="156"/>
      <c r="O183" s="168" t="n">
        <v>1</v>
      </c>
      <c r="P183" s="166"/>
      <c r="Q183" s="166" t="n">
        <f aca="false">R183+S183</f>
        <v>881</v>
      </c>
      <c r="R183" s="166" t="n">
        <f aca="false">881</f>
        <v>881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124</v>
      </c>
      <c r="C184" s="19" t="s">
        <v>20</v>
      </c>
      <c r="D184" s="19"/>
      <c r="E184" s="19" t="s">
        <v>88</v>
      </c>
      <c r="F184" s="20"/>
      <c r="G184" s="146" t="s">
        <v>22</v>
      </c>
      <c r="H184" s="159" t="n">
        <v>9</v>
      </c>
      <c r="I184" s="148" t="n">
        <v>5</v>
      </c>
      <c r="J184" s="148" t="n">
        <v>5</v>
      </c>
      <c r="K184" s="149" t="n">
        <v>9703.52</v>
      </c>
      <c r="L184" s="149" t="n">
        <f aca="false">M184+N184</f>
        <v>3286.13</v>
      </c>
      <c r="M184" s="149"/>
      <c r="N184" s="190" t="n">
        <v>3286.13</v>
      </c>
      <c r="O184" s="151" t="n">
        <v>7</v>
      </c>
      <c r="P184" s="149" t="n">
        <v>19070.72</v>
      </c>
      <c r="Q184" s="149" t="n">
        <f aca="false">R184+S184</f>
        <v>16237.42</v>
      </c>
      <c r="R184" s="149" t="n">
        <v>14475.42</v>
      </c>
      <c r="S184" s="190" t="n">
        <v>1762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42" t="s">
        <v>245</v>
      </c>
      <c r="G185" s="164" t="s">
        <v>23</v>
      </c>
      <c r="H185" s="172" t="n">
        <v>7</v>
      </c>
      <c r="I185" s="165"/>
      <c r="J185" s="165"/>
      <c r="K185" s="166"/>
      <c r="L185" s="166" t="n">
        <v>0</v>
      </c>
      <c r="M185" s="166"/>
      <c r="N185" s="156"/>
      <c r="O185" s="168" t="n">
        <v>4</v>
      </c>
      <c r="P185" s="166" t="n">
        <v>8092.8</v>
      </c>
      <c r="Q185" s="166" t="n">
        <v>3976.4</v>
      </c>
      <c r="R185" s="166" t="n">
        <v>3976.4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208</v>
      </c>
      <c r="C186" s="19"/>
      <c r="D186" s="19"/>
      <c r="E186" s="127"/>
      <c r="F186" s="20"/>
      <c r="G186" s="146" t="s">
        <v>22</v>
      </c>
      <c r="H186" s="173" t="n">
        <v>20</v>
      </c>
      <c r="I186" s="148" t="n">
        <v>3</v>
      </c>
      <c r="J186" s="148" t="n">
        <v>3</v>
      </c>
      <c r="K186" s="149" t="n">
        <v>3728.39</v>
      </c>
      <c r="L186" s="149" t="n">
        <f aca="false">M186+N186</f>
        <v>2396.32</v>
      </c>
      <c r="M186" s="149"/>
      <c r="N186" s="190" t="n">
        <v>2396.32</v>
      </c>
      <c r="O186" s="151"/>
      <c r="P186" s="149"/>
      <c r="Q186" s="149" t="n">
        <f aca="false">R186+S186</f>
        <v>0</v>
      </c>
      <c r="R186" s="149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28"/>
      <c r="F187" s="26" t="s">
        <v>246</v>
      </c>
      <c r="G187" s="152" t="s">
        <v>23</v>
      </c>
      <c r="H187" s="174" t="n">
        <v>6</v>
      </c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125</v>
      </c>
      <c r="C188" s="35" t="s">
        <v>33</v>
      </c>
      <c r="D188" s="35" t="s">
        <v>126</v>
      </c>
      <c r="E188" s="35" t="s">
        <v>127</v>
      </c>
      <c r="F188" s="36"/>
      <c r="G188" s="158" t="s">
        <v>22</v>
      </c>
      <c r="H188" s="159" t="n">
        <v>9</v>
      </c>
      <c r="I188" s="160" t="n">
        <v>5</v>
      </c>
      <c r="J188" s="160" t="n">
        <v>6</v>
      </c>
      <c r="K188" s="161" t="n">
        <v>7126.5</v>
      </c>
      <c r="L188" s="161" t="n">
        <f aca="false">M188+N188</f>
        <v>6427.42</v>
      </c>
      <c r="M188" s="161" t="n">
        <v>2128.14</v>
      </c>
      <c r="N188" s="190" t="n">
        <v>4299.28</v>
      </c>
      <c r="O188" s="163" t="n">
        <v>13</v>
      </c>
      <c r="P188" s="161" t="n">
        <v>32035.95</v>
      </c>
      <c r="Q188" s="161" t="n">
        <f aca="false">R188+S188</f>
        <v>24224.96</v>
      </c>
      <c r="R188" s="161" t="n">
        <v>15275.34</v>
      </c>
      <c r="S188" s="190" t="n">
        <v>8949.62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164" t="s">
        <v>23</v>
      </c>
      <c r="H189" s="171" t="n">
        <v>30</v>
      </c>
      <c r="I189" s="165" t="n">
        <v>7</v>
      </c>
      <c r="J189" s="165" t="n">
        <v>7</v>
      </c>
      <c r="K189" s="166" t="n">
        <v>10924.4</v>
      </c>
      <c r="L189" s="166" t="n">
        <v>2995.4</v>
      </c>
      <c r="M189" s="166" t="n">
        <v>2995.4</v>
      </c>
      <c r="N189" s="156"/>
      <c r="O189" s="168" t="n">
        <v>13</v>
      </c>
      <c r="P189" s="166" t="n">
        <v>34485.64</v>
      </c>
      <c r="Q189" s="166" t="n">
        <v>4581.2</v>
      </c>
      <c r="R189" s="166" t="n">
        <v>4581.2</v>
      </c>
      <c r="S189" s="156" t="n">
        <v>6343.2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128</v>
      </c>
      <c r="C190" s="19" t="s">
        <v>20</v>
      </c>
      <c r="D190" s="19"/>
      <c r="E190" s="19" t="s">
        <v>25</v>
      </c>
      <c r="F190" s="20"/>
      <c r="G190" s="146" t="s">
        <v>22</v>
      </c>
      <c r="H190" s="159" t="n">
        <v>16</v>
      </c>
      <c r="I190" s="148" t="n">
        <v>10</v>
      </c>
      <c r="J190" s="148" t="n">
        <v>10</v>
      </c>
      <c r="K190" s="149" t="n">
        <v>10868.49</v>
      </c>
      <c r="L190" s="149" t="n">
        <f aca="false">M190+N190</f>
        <v>5465.9</v>
      </c>
      <c r="M190" s="149" t="n">
        <v>5465.9</v>
      </c>
      <c r="N190" s="190"/>
      <c r="O190" s="151" t="n">
        <v>24</v>
      </c>
      <c r="P190" s="149" t="n">
        <v>42740.26</v>
      </c>
      <c r="Q190" s="149" t="n">
        <f aca="false">R190+S190</f>
        <v>22150.76</v>
      </c>
      <c r="R190" s="149" t="n">
        <v>7845.45</v>
      </c>
      <c r="S190" s="190" t="n">
        <v>14305.31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71"/>
      <c r="G191" s="164" t="s">
        <v>26</v>
      </c>
      <c r="H191" s="175"/>
      <c r="I191" s="165"/>
      <c r="J191" s="165"/>
      <c r="K191" s="166"/>
      <c r="L191" s="166" t="n">
        <f aca="false">M191+N191</f>
        <v>0</v>
      </c>
      <c r="M191" s="166"/>
      <c r="N191" s="156"/>
      <c r="O191" s="168"/>
      <c r="P191" s="166"/>
      <c r="Q191" s="166" t="n">
        <f aca="false">R191+S191</f>
        <v>0</v>
      </c>
      <c r="R191" s="166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227</v>
      </c>
      <c r="C192" s="19"/>
      <c r="D192" s="19"/>
      <c r="E192" s="19"/>
      <c r="F192" s="20"/>
      <c r="G192" s="204" t="s">
        <v>22</v>
      </c>
      <c r="H192" s="173" t="n">
        <v>2</v>
      </c>
      <c r="I192" s="148" t="n">
        <v>1</v>
      </c>
      <c r="J192" s="148" t="n">
        <v>1</v>
      </c>
      <c r="K192" s="149" t="n">
        <v>621.99</v>
      </c>
      <c r="L192" s="149" t="n">
        <f aca="false">M192+N192</f>
        <v>0</v>
      </c>
      <c r="M192" s="149"/>
      <c r="N192" s="190"/>
      <c r="O192" s="206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207" t="s">
        <v>26</v>
      </c>
      <c r="H193" s="174"/>
      <c r="I193" s="154"/>
      <c r="J193" s="154"/>
      <c r="K193" s="155"/>
      <c r="L193" s="155" t="n">
        <f aca="false">M193+N193</f>
        <v>0</v>
      </c>
      <c r="M193" s="155"/>
      <c r="N193" s="156"/>
      <c r="O193" s="209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129</v>
      </c>
      <c r="C194" s="35" t="s">
        <v>38</v>
      </c>
      <c r="D194" s="35" t="s">
        <v>130</v>
      </c>
      <c r="E194" s="35" t="s">
        <v>25</v>
      </c>
      <c r="F194" s="36"/>
      <c r="G194" s="158" t="s">
        <v>22</v>
      </c>
      <c r="H194" s="159" t="n">
        <v>11</v>
      </c>
      <c r="I194" s="160" t="n">
        <v>8</v>
      </c>
      <c r="J194" s="160" t="n">
        <v>8</v>
      </c>
      <c r="K194" s="161" t="n">
        <v>7208.26</v>
      </c>
      <c r="L194" s="161" t="n">
        <f aca="false">M194+N194</f>
        <v>3147.73</v>
      </c>
      <c r="M194" s="161" t="n">
        <v>3147.73</v>
      </c>
      <c r="N194" s="190"/>
      <c r="O194" s="163" t="n">
        <v>3</v>
      </c>
      <c r="P194" s="161" t="n">
        <v>55205.85</v>
      </c>
      <c r="Q194" s="161" t="n">
        <f aca="false">R194+S194</f>
        <v>44463.45</v>
      </c>
      <c r="R194" s="161" t="n">
        <v>44463.45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209</v>
      </c>
      <c r="G195" s="164" t="s">
        <v>26</v>
      </c>
      <c r="H195" s="153" t="n">
        <v>3</v>
      </c>
      <c r="I195" s="165" t="n">
        <v>1</v>
      </c>
      <c r="J195" s="165" t="n">
        <v>1</v>
      </c>
      <c r="K195" s="166" t="n">
        <v>1762</v>
      </c>
      <c r="L195" s="161" t="n">
        <f aca="false">M195+N195</f>
        <v>0</v>
      </c>
      <c r="M195" s="166" t="n">
        <v>0</v>
      </c>
      <c r="N195" s="156"/>
      <c r="O195" s="168" t="n">
        <v>7</v>
      </c>
      <c r="P195" s="166" t="n">
        <v>20590.6</v>
      </c>
      <c r="Q195" s="166" t="n">
        <f aca="false">R195+S195</f>
        <v>16374.2</v>
      </c>
      <c r="R195" s="166" t="n">
        <f aca="false">881+881</f>
        <v>1762</v>
      </c>
      <c r="S195" s="167" t="n">
        <v>14612.2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17"/>
      <c r="B196" s="18" t="s">
        <v>131</v>
      </c>
      <c r="C196" s="19" t="s">
        <v>38</v>
      </c>
      <c r="D196" s="19" t="s">
        <v>130</v>
      </c>
      <c r="E196" s="19" t="s">
        <v>25</v>
      </c>
      <c r="F196" s="20"/>
      <c r="G196" s="146" t="s">
        <v>22</v>
      </c>
      <c r="H196" s="159" t="n">
        <v>8</v>
      </c>
      <c r="I196" s="148" t="n">
        <v>7</v>
      </c>
      <c r="J196" s="148" t="n">
        <v>11</v>
      </c>
      <c r="K196" s="149" t="n">
        <v>25996.1</v>
      </c>
      <c r="L196" s="149" t="n">
        <f aca="false">M196+N196</f>
        <v>25996.1</v>
      </c>
      <c r="M196" s="149" t="n">
        <v>13633.47</v>
      </c>
      <c r="N196" s="190" t="n">
        <v>12362.63</v>
      </c>
      <c r="O196" s="151" t="n">
        <v>14</v>
      </c>
      <c r="P196" s="149" t="n">
        <v>65810.62</v>
      </c>
      <c r="Q196" s="149" t="n">
        <f aca="false">R196+S196</f>
        <v>58274.05</v>
      </c>
      <c r="R196" s="149" t="n">
        <v>55278.65</v>
      </c>
      <c r="S196" s="198" t="n">
        <v>2995.4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17"/>
      <c r="B197" s="18"/>
      <c r="C197" s="18"/>
      <c r="D197" s="18"/>
      <c r="E197" s="18"/>
      <c r="F197" s="26" t="s">
        <v>210</v>
      </c>
      <c r="G197" s="152" t="s">
        <v>26</v>
      </c>
      <c r="H197" s="153" t="n">
        <v>2</v>
      </c>
      <c r="I197" s="154" t="n">
        <v>2</v>
      </c>
      <c r="J197" s="154" t="n">
        <v>2</v>
      </c>
      <c r="K197" s="155" t="n">
        <v>1585.8</v>
      </c>
      <c r="L197" s="155" t="n">
        <f aca="false">M197+N197</f>
        <v>1585.8</v>
      </c>
      <c r="M197" s="155"/>
      <c r="N197" s="156" t="n">
        <v>1585.8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33"/>
      <c r="B198" s="34" t="s">
        <v>132</v>
      </c>
      <c r="C198" s="35" t="s">
        <v>20</v>
      </c>
      <c r="D198" s="35"/>
      <c r="E198" s="35" t="s">
        <v>69</v>
      </c>
      <c r="F198" s="38"/>
      <c r="G198" s="146" t="s">
        <v>22</v>
      </c>
      <c r="H198" s="159" t="n">
        <v>8</v>
      </c>
      <c r="I198" s="160" t="n">
        <v>7</v>
      </c>
      <c r="J198" s="160" t="n">
        <v>11</v>
      </c>
      <c r="K198" s="161" t="n">
        <v>23368.97</v>
      </c>
      <c r="L198" s="161" t="n">
        <f aca="false">M198+N198</f>
        <v>14544.62</v>
      </c>
      <c r="M198" s="161" t="n">
        <v>1973.48</v>
      </c>
      <c r="N198" s="190" t="n">
        <v>12571.14</v>
      </c>
      <c r="O198" s="163" t="n">
        <v>11</v>
      </c>
      <c r="P198" s="161" t="n">
        <v>34976.18</v>
      </c>
      <c r="Q198" s="161" t="n">
        <f aca="false">R198+S198</f>
        <v>28827.93</v>
      </c>
      <c r="R198" s="161" t="n">
        <v>28827.93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33"/>
      <c r="B199" s="34"/>
      <c r="C199" s="34"/>
      <c r="D199" s="34"/>
      <c r="E199" s="34"/>
      <c r="F199" s="42" t="s">
        <v>211</v>
      </c>
      <c r="G199" s="164" t="s">
        <v>26</v>
      </c>
      <c r="H199" s="153" t="n">
        <v>6</v>
      </c>
      <c r="I199" s="165"/>
      <c r="J199" s="165"/>
      <c r="K199" s="166"/>
      <c r="L199" s="166" t="n">
        <f aca="false">M199+N199</f>
        <v>0</v>
      </c>
      <c r="M199" s="166"/>
      <c r="N199" s="156"/>
      <c r="O199" s="168" t="n">
        <v>1</v>
      </c>
      <c r="P199" s="166" t="n">
        <v>3700.2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133</v>
      </c>
      <c r="C200" s="74" t="s">
        <v>20</v>
      </c>
      <c r="D200" s="74"/>
      <c r="E200" s="74" t="s">
        <v>25</v>
      </c>
      <c r="F200" s="22"/>
      <c r="G200" s="146" t="s">
        <v>22</v>
      </c>
      <c r="H200" s="159" t="n">
        <v>4</v>
      </c>
      <c r="I200" s="148" t="n">
        <v>2</v>
      </c>
      <c r="J200" s="148" t="n">
        <v>2</v>
      </c>
      <c r="K200" s="149" t="n">
        <v>3312.63</v>
      </c>
      <c r="L200" s="149" t="n">
        <f aca="false">M200+N200</f>
        <v>2784.03</v>
      </c>
      <c r="M200" s="149"/>
      <c r="N200" s="190" t="n">
        <v>2784.03</v>
      </c>
      <c r="O200" s="151" t="n">
        <v>2</v>
      </c>
      <c r="P200" s="149" t="n">
        <v>4329.79</v>
      </c>
      <c r="Q200" s="149" t="n">
        <f aca="false">R200+S200</f>
        <v>4329.79</v>
      </c>
      <c r="R200" s="149" t="n">
        <v>2163.03</v>
      </c>
      <c r="S200" s="190" t="n">
        <v>2166.76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72"/>
      <c r="B201" s="73"/>
      <c r="C201" s="73"/>
      <c r="D201" s="73"/>
      <c r="E201" s="73"/>
      <c r="F201" s="42" t="s">
        <v>212</v>
      </c>
      <c r="G201" s="164" t="s">
        <v>26</v>
      </c>
      <c r="H201" s="171" t="n">
        <v>4</v>
      </c>
      <c r="I201" s="165" t="n">
        <v>1</v>
      </c>
      <c r="J201" s="165" t="n">
        <v>1</v>
      </c>
      <c r="K201" s="166" t="n">
        <v>1409.6</v>
      </c>
      <c r="L201" s="166" t="n">
        <f aca="false">M201+N201</f>
        <v>1409.6</v>
      </c>
      <c r="M201" s="166"/>
      <c r="N201" s="156" t="n">
        <v>1409.6</v>
      </c>
      <c r="O201" s="168" t="n">
        <v>2</v>
      </c>
      <c r="P201" s="166" t="n">
        <v>1321.5</v>
      </c>
      <c r="Q201" s="166" t="n">
        <f aca="false">R201+S201</f>
        <v>1321.5</v>
      </c>
      <c r="R201" s="166"/>
      <c r="S201" s="156" t="n">
        <v>1321.5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134</v>
      </c>
      <c r="C202" s="74" t="s">
        <v>20</v>
      </c>
      <c r="D202" s="74"/>
      <c r="E202" s="74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90"/>
      <c r="O202" s="151" t="n">
        <v>1</v>
      </c>
      <c r="P202" s="149" t="n">
        <v>13019.26</v>
      </c>
      <c r="Q202" s="149" t="n">
        <f aca="false">R202+S202</f>
        <v>13019.26</v>
      </c>
      <c r="R202" s="149" t="n">
        <v>13019.26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72"/>
      <c r="B203" s="73"/>
      <c r="C203" s="73"/>
      <c r="D203" s="73"/>
      <c r="E203" s="73"/>
      <c r="F203" s="42" t="s">
        <v>213</v>
      </c>
      <c r="G203" s="164" t="s">
        <v>26</v>
      </c>
      <c r="H203" s="153" t="n">
        <v>2</v>
      </c>
      <c r="I203" s="165"/>
      <c r="J203" s="165"/>
      <c r="K203" s="166"/>
      <c r="L203" s="166" t="n">
        <f aca="false">M203+N203</f>
        <v>0</v>
      </c>
      <c r="M203" s="166"/>
      <c r="N203" s="156"/>
      <c r="O203" s="168" t="n">
        <v>3</v>
      </c>
      <c r="P203" s="166" t="n">
        <v>23840.15</v>
      </c>
      <c r="Q203" s="166" t="n">
        <f aca="false">R203+S203</f>
        <v>19875.62</v>
      </c>
      <c r="R203" s="166"/>
      <c r="S203" s="156" t="n">
        <v>19875.62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17"/>
      <c r="B204" s="18" t="s">
        <v>135</v>
      </c>
      <c r="C204" s="19" t="s">
        <v>20</v>
      </c>
      <c r="D204" s="19"/>
      <c r="E204" s="19" t="s">
        <v>69</v>
      </c>
      <c r="F204" s="22"/>
      <c r="G204" s="146" t="s">
        <v>22</v>
      </c>
      <c r="H204" s="159" t="n">
        <v>9</v>
      </c>
      <c r="I204" s="148" t="n">
        <v>4</v>
      </c>
      <c r="J204" s="148" t="n">
        <v>4</v>
      </c>
      <c r="K204" s="149" t="n">
        <v>5030.51</v>
      </c>
      <c r="L204" s="149" t="n">
        <f aca="false">M204+N204</f>
        <v>4158.32</v>
      </c>
      <c r="M204" s="149" t="n">
        <v>2995.4</v>
      </c>
      <c r="N204" s="190" t="n">
        <v>1162.92</v>
      </c>
      <c r="O204" s="151" t="n">
        <v>12</v>
      </c>
      <c r="P204" s="149" t="n">
        <v>22594.45</v>
      </c>
      <c r="Q204" s="149" t="n">
        <f aca="false">R204+S204</f>
        <v>16446.2</v>
      </c>
      <c r="R204" s="149" t="n">
        <v>14331.8</v>
      </c>
      <c r="S204" s="190" t="n">
        <v>2114.4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277</v>
      </c>
      <c r="G205" s="152" t="s">
        <v>26</v>
      </c>
      <c r="H205" s="171" t="n">
        <v>6</v>
      </c>
      <c r="I205" s="154"/>
      <c r="J205" s="154"/>
      <c r="K205" s="155"/>
      <c r="L205" s="155" t="n">
        <f aca="false">M205+N205</f>
        <v>0</v>
      </c>
      <c r="M205" s="155"/>
      <c r="N205" s="156"/>
      <c r="O205" s="157" t="n">
        <v>2</v>
      </c>
      <c r="P205" s="155" t="n">
        <v>2292.9</v>
      </c>
      <c r="Q205" s="155" t="n">
        <f aca="false">R205+S205</f>
        <v>792.9</v>
      </c>
      <c r="R205" s="155"/>
      <c r="S205" s="156" t="n">
        <v>792.9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136</v>
      </c>
      <c r="C206" s="35" t="s">
        <v>20</v>
      </c>
      <c r="D206" s="35"/>
      <c r="E206" s="35" t="s">
        <v>98</v>
      </c>
      <c r="F206" s="36"/>
      <c r="G206" s="146" t="s">
        <v>22</v>
      </c>
      <c r="H206" s="159" t="n">
        <v>18</v>
      </c>
      <c r="I206" s="160" t="n">
        <v>9</v>
      </c>
      <c r="J206" s="160" t="n">
        <v>12</v>
      </c>
      <c r="K206" s="161" t="n">
        <v>20218.61</v>
      </c>
      <c r="L206" s="161" t="n">
        <f aca="false">M206+N206</f>
        <v>20218.61</v>
      </c>
      <c r="M206" s="161" t="n">
        <v>7070.9</v>
      </c>
      <c r="N206" s="190" t="n">
        <v>13147.71</v>
      </c>
      <c r="O206" s="163" t="n">
        <v>9</v>
      </c>
      <c r="P206" s="161" t="n">
        <v>14877.54</v>
      </c>
      <c r="Q206" s="161" t="n">
        <f aca="false">R206+S206</f>
        <v>14877.54</v>
      </c>
      <c r="R206" s="161" t="n">
        <v>11139.63</v>
      </c>
      <c r="S206" s="190" t="n">
        <v>3737.91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247</v>
      </c>
      <c r="G207" s="164" t="s">
        <v>23</v>
      </c>
      <c r="H207" s="171" t="n">
        <v>6</v>
      </c>
      <c r="I207" s="165" t="n">
        <v>6</v>
      </c>
      <c r="J207" s="165" t="n">
        <v>6</v>
      </c>
      <c r="K207" s="166" t="n">
        <v>4581.2</v>
      </c>
      <c r="L207" s="166" t="n">
        <f aca="false">M207+N207</f>
        <v>4052.6</v>
      </c>
      <c r="M207" s="166"/>
      <c r="N207" s="156" t="n">
        <v>4052.6</v>
      </c>
      <c r="O207" s="168" t="n">
        <v>6</v>
      </c>
      <c r="P207" s="166" t="n">
        <v>5638.4</v>
      </c>
      <c r="Q207" s="166" t="n">
        <v>1585.8</v>
      </c>
      <c r="R207" s="166" t="n">
        <v>1585.8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137</v>
      </c>
      <c r="C208" s="19" t="s">
        <v>20</v>
      </c>
      <c r="D208" s="19"/>
      <c r="E208" s="19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/>
      <c r="P208" s="149"/>
      <c r="Q208" s="149" t="n">
        <f aca="false">R208+S208</f>
        <v>0</v>
      </c>
      <c r="R208" s="149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20.25" hidden="false" customHeight="true" outlineLevel="0" collapsed="false">
      <c r="A209" s="17"/>
      <c r="B209" s="18"/>
      <c r="C209" s="18"/>
      <c r="D209" s="18"/>
      <c r="E209" s="18"/>
      <c r="F209" s="26" t="s">
        <v>286</v>
      </c>
      <c r="G209" s="152" t="s">
        <v>26</v>
      </c>
      <c r="H209" s="153" t="n">
        <v>8</v>
      </c>
      <c r="I209" s="154" t="n">
        <v>1</v>
      </c>
      <c r="J209" s="154" t="n">
        <v>1</v>
      </c>
      <c r="K209" s="155" t="n">
        <v>1938.2</v>
      </c>
      <c r="L209" s="155" t="n">
        <f aca="false">M209+N209</f>
        <v>0</v>
      </c>
      <c r="M209" s="155"/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138</v>
      </c>
      <c r="C210" s="56" t="s">
        <v>33</v>
      </c>
      <c r="D210" s="56" t="s">
        <v>139</v>
      </c>
      <c r="E210" s="56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90"/>
      <c r="O210" s="163"/>
      <c r="P210" s="161"/>
      <c r="Q210" s="161" t="n">
        <f aca="false">R210+S210</f>
        <v>0</v>
      </c>
      <c r="R210" s="161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214</v>
      </c>
      <c r="G211" s="152" t="s">
        <v>26</v>
      </c>
      <c r="H211" s="171" t="n">
        <v>5</v>
      </c>
      <c r="I211" s="154" t="n">
        <v>1</v>
      </c>
      <c r="J211" s="154" t="n">
        <v>1</v>
      </c>
      <c r="K211" s="155" t="n">
        <v>2466.8</v>
      </c>
      <c r="L211" s="155" t="n">
        <f aca="false">M211+N211</f>
        <v>2466.8</v>
      </c>
      <c r="M211" s="155"/>
      <c r="N211" s="156" t="n">
        <v>2466.8</v>
      </c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33"/>
      <c r="B212" s="34" t="s">
        <v>140</v>
      </c>
      <c r="C212" s="35" t="s">
        <v>20</v>
      </c>
      <c r="D212" s="35"/>
      <c r="E212" s="35" t="s">
        <v>141</v>
      </c>
      <c r="F212" s="36"/>
      <c r="G212" s="146" t="s">
        <v>22</v>
      </c>
      <c r="H212" s="159" t="n">
        <v>10</v>
      </c>
      <c r="I212" s="160" t="n">
        <v>3</v>
      </c>
      <c r="J212" s="160" t="n">
        <v>3</v>
      </c>
      <c r="K212" s="161" t="n">
        <v>3881.13</v>
      </c>
      <c r="L212" s="161" t="n">
        <f aca="false">M212+N212</f>
        <v>3881.13</v>
      </c>
      <c r="M212" s="161" t="n">
        <v>1046.63</v>
      </c>
      <c r="N212" s="190" t="n">
        <v>2834.5</v>
      </c>
      <c r="O212" s="163" t="n">
        <v>8</v>
      </c>
      <c r="P212" s="161" t="n">
        <v>21585.86</v>
      </c>
      <c r="Q212" s="161" t="n">
        <f aca="false">R212+S212</f>
        <v>21585.86</v>
      </c>
      <c r="R212" s="161" t="n">
        <v>8449.99</v>
      </c>
      <c r="S212" s="190" t="n">
        <v>13135.87</v>
      </c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215</v>
      </c>
      <c r="G213" s="164" t="s">
        <v>26</v>
      </c>
      <c r="H213" s="175" t="n">
        <v>1</v>
      </c>
      <c r="I213" s="165"/>
      <c r="J213" s="165"/>
      <c r="K213" s="166"/>
      <c r="L213" s="166" t="n">
        <f aca="false">M213+N213</f>
        <v>0</v>
      </c>
      <c r="M213" s="166"/>
      <c r="N213" s="156"/>
      <c r="O213" s="168"/>
      <c r="P213" s="166"/>
      <c r="Q213" s="166" t="n">
        <f aca="false">R213+S213</f>
        <v>0</v>
      </c>
      <c r="R213" s="166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251</v>
      </c>
      <c r="C214" s="19" t="s">
        <v>20</v>
      </c>
      <c r="D214" s="19"/>
      <c r="E214" s="19" t="s">
        <v>116</v>
      </c>
      <c r="F214" s="20"/>
      <c r="G214" s="146" t="s">
        <v>22</v>
      </c>
      <c r="H214" s="173" t="n">
        <v>3</v>
      </c>
      <c r="I214" s="148"/>
      <c r="J214" s="148"/>
      <c r="K214" s="149"/>
      <c r="L214" s="149"/>
      <c r="M214" s="149"/>
      <c r="N214" s="190"/>
      <c r="O214" s="206"/>
      <c r="P214" s="149"/>
      <c r="Q214" s="149"/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252</v>
      </c>
      <c r="G215" s="152" t="s">
        <v>26</v>
      </c>
      <c r="H215" s="174" t="n">
        <v>5</v>
      </c>
      <c r="I215" s="154"/>
      <c r="J215" s="154"/>
      <c r="K215" s="155"/>
      <c r="L215" s="155"/>
      <c r="M215" s="155"/>
      <c r="N215" s="156"/>
      <c r="O215" s="209"/>
      <c r="P215" s="155"/>
      <c r="Q215" s="155"/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142</v>
      </c>
      <c r="C216" s="56" t="s">
        <v>20</v>
      </c>
      <c r="D216" s="56"/>
      <c r="E216" s="56" t="s">
        <v>25</v>
      </c>
      <c r="F216" s="36"/>
      <c r="G216" s="158" t="s">
        <v>22</v>
      </c>
      <c r="H216" s="173" t="n">
        <v>4</v>
      </c>
      <c r="I216" s="148" t="n">
        <v>3</v>
      </c>
      <c r="J216" s="148" t="n">
        <v>3</v>
      </c>
      <c r="K216" s="149" t="n">
        <v>1656.28</v>
      </c>
      <c r="L216" s="149" t="n">
        <f aca="false">M216+N216</f>
        <v>1656.28</v>
      </c>
      <c r="M216" s="149" t="n">
        <v>1656.28</v>
      </c>
      <c r="N216" s="190"/>
      <c r="O216" s="228" t="n">
        <v>4</v>
      </c>
      <c r="P216" s="161" t="n">
        <v>5104.51</v>
      </c>
      <c r="Q216" s="161" t="n">
        <f aca="false">R216+S216</f>
        <v>3342.51</v>
      </c>
      <c r="R216" s="161" t="n">
        <v>3342.51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42" t="s">
        <v>216</v>
      </c>
      <c r="G217" s="164" t="s">
        <v>26</v>
      </c>
      <c r="H217" s="177" t="n">
        <v>6</v>
      </c>
      <c r="I217" s="165" t="n">
        <v>3</v>
      </c>
      <c r="J217" s="165" t="n">
        <v>3</v>
      </c>
      <c r="K217" s="166" t="n">
        <v>5990.8</v>
      </c>
      <c r="L217" s="166" t="n">
        <f aca="false">M217+N217</f>
        <v>9043.61</v>
      </c>
      <c r="M217" s="166" t="n">
        <f aca="false">3052.81</f>
        <v>3052.81</v>
      </c>
      <c r="N217" s="167" t="n">
        <v>5990.8</v>
      </c>
      <c r="O217" s="238" t="n">
        <v>7</v>
      </c>
      <c r="P217" s="166" t="n">
        <v>7343.2</v>
      </c>
      <c r="Q217" s="166" t="n">
        <f aca="false">R217+S217</f>
        <v>4876.19</v>
      </c>
      <c r="R217" s="166" t="n">
        <v>823.59</v>
      </c>
      <c r="S217" s="167" t="n">
        <v>4052.6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287</v>
      </c>
      <c r="C218" s="56" t="s">
        <v>20</v>
      </c>
      <c r="D218" s="19"/>
      <c r="E218" s="56" t="s">
        <v>25</v>
      </c>
      <c r="F218" s="20"/>
      <c r="G218" s="146" t="s">
        <v>22</v>
      </c>
      <c r="H218" s="147"/>
      <c r="I218" s="148"/>
      <c r="J218" s="148"/>
      <c r="K218" s="149"/>
      <c r="L218" s="149" t="n">
        <f aca="false">M218+N218</f>
        <v>0</v>
      </c>
      <c r="M218" s="149"/>
      <c r="N218" s="150"/>
      <c r="O218" s="206"/>
      <c r="P218" s="149"/>
      <c r="Q218" s="149" t="n">
        <f aca="false">R218+S218</f>
        <v>0</v>
      </c>
      <c r="R218" s="149"/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288</v>
      </c>
      <c r="G219" s="152" t="s">
        <v>26</v>
      </c>
      <c r="H219" s="176" t="n">
        <v>3</v>
      </c>
      <c r="I219" s="154"/>
      <c r="J219" s="154"/>
      <c r="K219" s="155"/>
      <c r="L219" s="155" t="n">
        <f aca="false">M219+N219</f>
        <v>0</v>
      </c>
      <c r="M219" s="155"/>
      <c r="N219" s="156"/>
      <c r="O219" s="209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143</v>
      </c>
      <c r="C220" s="35" t="s">
        <v>20</v>
      </c>
      <c r="D220" s="35"/>
      <c r="E220" s="35" t="s">
        <v>25</v>
      </c>
      <c r="F220" s="36"/>
      <c r="G220" s="158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 t="n">
        <v>1</v>
      </c>
      <c r="P220" s="161" t="n">
        <v>1515.67</v>
      </c>
      <c r="Q220" s="161" t="n">
        <f aca="false">R220+S220</f>
        <v>1515.67</v>
      </c>
      <c r="R220" s="161" t="n">
        <v>1515.67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217</v>
      </c>
      <c r="G221" s="164" t="s">
        <v>26</v>
      </c>
      <c r="H221" s="171" t="n">
        <v>6</v>
      </c>
      <c r="I221" s="165"/>
      <c r="J221" s="165"/>
      <c r="K221" s="166"/>
      <c r="L221" s="166" t="n">
        <f aca="false">M221+N221</f>
        <v>704.8</v>
      </c>
      <c r="M221" s="166"/>
      <c r="N221" s="156" t="n">
        <v>704.8</v>
      </c>
      <c r="O221" s="168" t="n">
        <v>6</v>
      </c>
      <c r="P221" s="166" t="n">
        <v>34775.2</v>
      </c>
      <c r="Q221" s="166" t="n">
        <f aca="false">R221+S221</f>
        <v>13743.6</v>
      </c>
      <c r="R221" s="166"/>
      <c r="S221" s="156" t="n">
        <v>13743.6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144</v>
      </c>
      <c r="C222" s="19" t="s">
        <v>20</v>
      </c>
      <c r="D222" s="19"/>
      <c r="E222" s="19" t="s">
        <v>81</v>
      </c>
      <c r="F222" s="20"/>
      <c r="G222" s="146" t="s">
        <v>22</v>
      </c>
      <c r="H222" s="159" t="n">
        <v>8</v>
      </c>
      <c r="I222" s="148" t="n">
        <v>4</v>
      </c>
      <c r="J222" s="148" t="n">
        <v>4</v>
      </c>
      <c r="K222" s="149" t="n">
        <v>2995.4</v>
      </c>
      <c r="L222" s="149" t="n">
        <f aca="false">M222+N222</f>
        <v>2096.78</v>
      </c>
      <c r="M222" s="149"/>
      <c r="N222" s="190" t="n">
        <v>2096.78</v>
      </c>
      <c r="O222" s="151" t="n">
        <v>4</v>
      </c>
      <c r="P222" s="149" t="n">
        <v>3636.77</v>
      </c>
      <c r="Q222" s="149" t="n">
        <f aca="false">R222+S222</f>
        <v>3636.77</v>
      </c>
      <c r="R222" s="149"/>
      <c r="S222" s="190" t="n">
        <v>3636.77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218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4052.6</v>
      </c>
      <c r="L223" s="155" t="n">
        <f aca="false">M223+N223</f>
        <v>0</v>
      </c>
      <c r="M223" s="155"/>
      <c r="N223" s="156"/>
      <c r="O223" s="157" t="n">
        <v>2</v>
      </c>
      <c r="P223" s="155" t="n">
        <v>4493.1</v>
      </c>
      <c r="Q223" s="155" t="n">
        <f aca="false">R223+S223</f>
        <v>4493.1</v>
      </c>
      <c r="R223" s="155"/>
      <c r="S223" s="156" t="n">
        <v>4493.1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145</v>
      </c>
      <c r="C224" s="35" t="s">
        <v>20</v>
      </c>
      <c r="D224" s="35"/>
      <c r="E224" s="35" t="s">
        <v>98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71"/>
      <c r="G225" s="164" t="s">
        <v>23</v>
      </c>
      <c r="H225" s="175"/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146</v>
      </c>
      <c r="C226" s="19" t="s">
        <v>20</v>
      </c>
      <c r="D226" s="19"/>
      <c r="E226" s="19" t="s">
        <v>25</v>
      </c>
      <c r="F226" s="22"/>
      <c r="G226" s="146" t="s">
        <v>22</v>
      </c>
      <c r="H226" s="173" t="n">
        <v>7</v>
      </c>
      <c r="I226" s="148" t="n">
        <v>4</v>
      </c>
      <c r="J226" s="148" t="n">
        <v>4</v>
      </c>
      <c r="K226" s="149" t="n">
        <v>2819.2</v>
      </c>
      <c r="L226" s="149" t="n">
        <f aca="false">M226+N226</f>
        <v>2819.2</v>
      </c>
      <c r="M226" s="149" t="n">
        <v>352.4</v>
      </c>
      <c r="N226" s="190" t="n">
        <v>2466.8</v>
      </c>
      <c r="O226" s="206" t="n">
        <v>1</v>
      </c>
      <c r="P226" s="149" t="n">
        <v>1546.68</v>
      </c>
      <c r="Q226" s="149" t="n">
        <f aca="false">R226+S226</f>
        <v>1546.68</v>
      </c>
      <c r="R226" s="149" t="n">
        <v>1546.68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42" t="s">
        <v>219</v>
      </c>
      <c r="G227" s="164" t="s">
        <v>26</v>
      </c>
      <c r="H227" s="178"/>
      <c r="I227" s="165"/>
      <c r="J227" s="165"/>
      <c r="K227" s="166"/>
      <c r="L227" s="166" t="n">
        <f aca="false">M227+N227</f>
        <v>0</v>
      </c>
      <c r="M227" s="166" t="n">
        <v>0</v>
      </c>
      <c r="N227" s="167"/>
      <c r="O227" s="238" t="n">
        <v>1</v>
      </c>
      <c r="P227" s="166" t="n">
        <v>1585.8</v>
      </c>
      <c r="Q227" s="166" t="n">
        <f aca="false">R227+S227</f>
        <v>1585.8</v>
      </c>
      <c r="R227" s="166" t="n">
        <v>1585.8</v>
      </c>
      <c r="S227" s="167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289</v>
      </c>
      <c r="C228" s="19"/>
      <c r="D228" s="19"/>
      <c r="E228" s="19"/>
      <c r="F228" s="20"/>
      <c r="G228" s="146" t="s">
        <v>22</v>
      </c>
      <c r="H228" s="173" t="n">
        <v>1</v>
      </c>
      <c r="I228" s="148"/>
      <c r="J228" s="148"/>
      <c r="K228" s="149"/>
      <c r="L228" s="149" t="n">
        <f aca="false">M228+N228</f>
        <v>0</v>
      </c>
      <c r="M228" s="149"/>
      <c r="N228" s="224"/>
      <c r="O228" s="151"/>
      <c r="P228" s="149"/>
      <c r="Q228" s="149" t="n">
        <f aca="false">R228+S228</f>
        <v>0</v>
      </c>
      <c r="R228" s="149"/>
      <c r="S228" s="15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57"/>
      <c r="G229" s="152" t="s">
        <v>23</v>
      </c>
      <c r="H229" s="174" t="n">
        <v>1</v>
      </c>
      <c r="I229" s="154"/>
      <c r="J229" s="154"/>
      <c r="K229" s="155"/>
      <c r="L229" s="155" t="n">
        <f aca="false">M229+N229</f>
        <v>0</v>
      </c>
      <c r="M229" s="155"/>
      <c r="N229" s="226"/>
      <c r="O229" s="157"/>
      <c r="P229" s="155"/>
      <c r="Q229" s="155" t="n">
        <f aca="false">R229+S229</f>
        <v>0</v>
      </c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147</v>
      </c>
      <c r="C230" s="56" t="s">
        <v>20</v>
      </c>
      <c r="D230" s="56"/>
      <c r="E230" s="56" t="s">
        <v>25</v>
      </c>
      <c r="F230" s="97"/>
      <c r="G230" s="158" t="s">
        <v>22</v>
      </c>
      <c r="H230" s="159" t="n">
        <v>3</v>
      </c>
      <c r="I230" s="160" t="n">
        <v>3</v>
      </c>
      <c r="J230" s="160" t="n">
        <v>3</v>
      </c>
      <c r="K230" s="161" t="n">
        <v>2093.26</v>
      </c>
      <c r="L230" s="161" t="n">
        <f aca="false">M230+N230</f>
        <v>2093.26</v>
      </c>
      <c r="M230" s="161"/>
      <c r="N230" s="190" t="n">
        <v>2093.26</v>
      </c>
      <c r="O230" s="163" t="n">
        <v>4</v>
      </c>
      <c r="P230" s="161" t="n">
        <v>16436.74</v>
      </c>
      <c r="Q230" s="161" t="n">
        <f aca="false">R230+S230</f>
        <v>16436.74</v>
      </c>
      <c r="R230" s="161" t="n">
        <v>16436.74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26" t="s">
        <v>220</v>
      </c>
      <c r="G231" s="152" t="s">
        <v>26</v>
      </c>
      <c r="H231" s="171" t="n">
        <v>9</v>
      </c>
      <c r="I231" s="154" t="n">
        <v>1</v>
      </c>
      <c r="J231" s="154" t="n">
        <v>1</v>
      </c>
      <c r="K231" s="155" t="n">
        <v>6167</v>
      </c>
      <c r="L231" s="189" t="n">
        <f aca="false">M231+N231</f>
        <v>528.6</v>
      </c>
      <c r="M231" s="155" t="n">
        <v>0</v>
      </c>
      <c r="N231" s="167" t="n">
        <v>528.6</v>
      </c>
      <c r="O231" s="157" t="n">
        <v>5</v>
      </c>
      <c r="P231" s="155" t="n">
        <v>13038.8</v>
      </c>
      <c r="Q231" s="161" t="n">
        <f aca="false">R231+S231</f>
        <v>18677.2</v>
      </c>
      <c r="R231" s="155" t="n">
        <f aca="false">7048+528.6</f>
        <v>7576.6</v>
      </c>
      <c r="S231" s="156" t="n">
        <v>11100.6</v>
      </c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148</v>
      </c>
      <c r="C232" s="19" t="s">
        <v>20</v>
      </c>
      <c r="D232" s="19"/>
      <c r="E232" s="19" t="s">
        <v>21</v>
      </c>
      <c r="F232" s="22"/>
      <c r="G232" s="146" t="s">
        <v>22</v>
      </c>
      <c r="H232" s="173" t="n">
        <v>2</v>
      </c>
      <c r="I232" s="148" t="n">
        <v>1</v>
      </c>
      <c r="J232" s="148" t="n">
        <v>1</v>
      </c>
      <c r="K232" s="149" t="n">
        <v>436.1</v>
      </c>
      <c r="L232" s="149" t="n">
        <f aca="false">M232+N232</f>
        <v>436.1</v>
      </c>
      <c r="M232" s="149"/>
      <c r="N232" s="198" t="n">
        <v>436.1</v>
      </c>
      <c r="O232" s="151" t="n">
        <v>1</v>
      </c>
      <c r="P232" s="149" t="n">
        <v>13232.99</v>
      </c>
      <c r="Q232" s="149" t="n">
        <f aca="false">R232+S232</f>
        <v>13232.99</v>
      </c>
      <c r="R232" s="149"/>
      <c r="S232" s="190" t="n">
        <v>13232.99</v>
      </c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248</v>
      </c>
      <c r="G233" s="152" t="s">
        <v>23</v>
      </c>
      <c r="H233" s="171" t="n">
        <v>2</v>
      </c>
      <c r="I233" s="154"/>
      <c r="J233" s="154"/>
      <c r="K233" s="155"/>
      <c r="L233" s="155" t="n">
        <f aca="false">M233+N233</f>
        <v>0</v>
      </c>
      <c r="M233" s="155"/>
      <c r="N233" s="156"/>
      <c r="O233" s="157" t="n">
        <v>1</v>
      </c>
      <c r="P233" s="155" t="n">
        <v>572.65</v>
      </c>
      <c r="Q233" s="155" t="n">
        <v>572.65</v>
      </c>
      <c r="R233" s="155" t="n">
        <v>572.65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99"/>
      <c r="B234" s="100" t="s">
        <v>149</v>
      </c>
      <c r="C234" s="100"/>
      <c r="D234" s="100"/>
      <c r="E234" s="100"/>
      <c r="F234" s="100"/>
      <c r="G234" s="212"/>
      <c r="H234" s="213" t="n">
        <f aca="false">SUM(H9:H233)</f>
        <v>1216</v>
      </c>
      <c r="I234" s="214" t="n">
        <f aca="false">SUM(I9:I233)</f>
        <v>558</v>
      </c>
      <c r="J234" s="214" t="n">
        <f aca="false">SUM(J9:J233)</f>
        <v>617</v>
      </c>
      <c r="K234" s="215" t="n">
        <f aca="false">SUM(K9:K233)</f>
        <v>842517.39</v>
      </c>
      <c r="L234" s="215" t="n">
        <f aca="false">SUM(L9:L233)</f>
        <v>563230.69</v>
      </c>
      <c r="M234" s="215" t="n">
        <f aca="false">SUM(M9:M233)</f>
        <v>221160.28</v>
      </c>
      <c r="N234" s="243" t="n">
        <f aca="false">SUM(N9:N233)</f>
        <v>343869.56</v>
      </c>
      <c r="O234" s="244" t="n">
        <f aca="false">SUM(O9:O233)</f>
        <v>762</v>
      </c>
      <c r="P234" s="245" t="n">
        <f aca="false">SUM(P9:P233)</f>
        <v>2192427.36</v>
      </c>
      <c r="Q234" s="245" t="n">
        <f aca="false">SUM(Q9:Q233)</f>
        <v>1627424.37</v>
      </c>
      <c r="R234" s="245" t="n">
        <f aca="false">SUM(R9:R233)</f>
        <v>995788.67</v>
      </c>
      <c r="S234" s="246" t="n">
        <f aca="false">SUM(S9:S233)</f>
        <v>650665.3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 t="s">
        <v>290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2"/>
      <c r="B238" s="2"/>
      <c r="C238" s="2"/>
      <c r="D238" s="2"/>
      <c r="E238" s="2"/>
      <c r="F238" s="103"/>
      <c r="G238" s="104" t="s">
        <v>5</v>
      </c>
      <c r="H238" s="104"/>
      <c r="I238" s="104"/>
      <c r="J238" s="104"/>
      <c r="K238" s="104"/>
      <c r="L238" s="104"/>
      <c r="M238" s="104"/>
      <c r="N238" s="104" t="s">
        <v>6</v>
      </c>
      <c r="O238" s="104"/>
      <c r="P238" s="104"/>
      <c r="Q238" s="104"/>
      <c r="R238" s="104"/>
      <c r="S238" s="105" t="s">
        <v>150</v>
      </c>
      <c r="T238" s="105" t="s">
        <v>253</v>
      </c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103"/>
      <c r="G239" s="106" t="s">
        <v>13</v>
      </c>
      <c r="H239" s="106" t="s">
        <v>14</v>
      </c>
      <c r="I239" s="106" t="s">
        <v>15</v>
      </c>
      <c r="J239" s="106" t="s">
        <v>226</v>
      </c>
      <c r="K239" s="106" t="s">
        <v>16</v>
      </c>
      <c r="L239" s="106" t="s">
        <v>17</v>
      </c>
      <c r="M239" s="106" t="s">
        <v>18</v>
      </c>
      <c r="N239" s="106" t="s">
        <v>15</v>
      </c>
      <c r="O239" s="106" t="s">
        <v>226</v>
      </c>
      <c r="P239" s="106" t="s">
        <v>16</v>
      </c>
      <c r="Q239" s="106" t="s">
        <v>17</v>
      </c>
      <c r="R239" s="106" t="s">
        <v>18</v>
      </c>
      <c r="S239" s="105"/>
      <c r="T239" s="105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107" t="s">
        <v>22</v>
      </c>
      <c r="G240" s="108" t="n">
        <f aca="false">SUMIF($G$9:$G$233,$F$240,H9:H233)</f>
        <v>782</v>
      </c>
      <c r="H240" s="108" t="n">
        <f aca="false">SUMIF($G$9:$G$233,$F$240,I9:I233)</f>
        <v>445</v>
      </c>
      <c r="I240" s="108" t="n">
        <f aca="false">SUMIF($G$9:$G$233,$F$240,J9:J233)</f>
        <v>505</v>
      </c>
      <c r="J240" s="110" t="n">
        <f aca="false">SUMIF($G$9:$G$233,F240,$K$9:$K$233)</f>
        <v>659722.92</v>
      </c>
      <c r="K240" s="110" t="n">
        <f aca="false">SUMIF($G$9:$G$233,$F$240,L9:L233)</f>
        <v>490487.69</v>
      </c>
      <c r="L240" s="110" t="n">
        <f aca="false">SUMIF($G$9:$G$233,$F$240,M9:M233)</f>
        <v>208301.37</v>
      </c>
      <c r="M240" s="110" t="n">
        <f aca="false">SUMIF($G$9:$G$233,$F$240,N9:N233)</f>
        <v>282186.32</v>
      </c>
      <c r="N240" s="108" t="n">
        <f aca="false">SUMIF($G$9:$G$233,$F$240,O9:O233)</f>
        <v>530</v>
      </c>
      <c r="O240" s="110" t="n">
        <f aca="false">SUMIF($G$9:$G$233,F240,$P$9:$P$233)</f>
        <v>1581367.85</v>
      </c>
      <c r="P240" s="110" t="n">
        <f aca="false">SUMIF($G$9:$G$233,$F$240,Q9:Q233)</f>
        <v>1256482.13</v>
      </c>
      <c r="Q240" s="110" t="n">
        <f aca="false">SUMIF($G$9:$G$233,$F$240,R9:R233)</f>
        <v>868523.63</v>
      </c>
      <c r="R240" s="110" t="n">
        <f aca="false">SUMIF($G$9:$G$233,$F$240,S9:S233)</f>
        <v>387958.5</v>
      </c>
      <c r="S240" s="110" t="n">
        <f aca="false">Q240+L240</f>
        <v>1076825</v>
      </c>
      <c r="T240" s="111" t="n">
        <f aca="false">J240-L240+O240-Q240</f>
        <v>1164265.77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107" t="s">
        <v>26</v>
      </c>
      <c r="G241" s="108" t="n">
        <f aca="false">SUMIF($G$9:$G$233,$F$241,H9:H233)</f>
        <v>261</v>
      </c>
      <c r="H241" s="108" t="n">
        <v>20</v>
      </c>
      <c r="I241" s="108" t="n">
        <f aca="false">SUMIF($G$9:$G$233,$F$241,J9:J233)</f>
        <v>59</v>
      </c>
      <c r="J241" s="110" t="n">
        <f aca="false">SUMIF($G$9:$G$233,F241,$K$9:$K$233)</f>
        <v>121476.62</v>
      </c>
      <c r="K241" s="110" t="n">
        <f aca="false">SUMIF($G$9:$G$233,$F$241,L9:L233)</f>
        <v>61150.95</v>
      </c>
      <c r="L241" s="110" t="n">
        <f aca="false">SUMIF($G$9:$G$233,$F$241,M9:M233)</f>
        <v>5319.46</v>
      </c>
      <c r="M241" s="110" t="n">
        <f aca="false">SUMIF($G$9:$G$233,$F$241,N9:N233)</f>
        <v>55831.49</v>
      </c>
      <c r="N241" s="108" t="n">
        <f aca="false">SUMIF($G$9:$G$233,$F$241,O9:O233)</f>
        <v>158</v>
      </c>
      <c r="O241" s="110" t="n">
        <f aca="false">SUMIF($G$9:$G$233,F241,$P$9:$P$233)</f>
        <v>443129.8</v>
      </c>
      <c r="P241" s="110" t="n">
        <f aca="false">SUMIF($G$9:$G$233,$F$241,Q9:Q233)</f>
        <v>338481.69</v>
      </c>
      <c r="Q241" s="110" t="n">
        <f aca="false">SUMIF($G$9:$G$233,$F$241,R9:R233)</f>
        <v>94804.49</v>
      </c>
      <c r="R241" s="110" t="n">
        <f aca="false">SUMIF($G$9:$G$233,$F$241,S9:S233)</f>
        <v>243677.2</v>
      </c>
      <c r="S241" s="110" t="n">
        <f aca="false">Q241+L241</f>
        <v>100123.95</v>
      </c>
      <c r="T241" s="111" t="n">
        <f aca="false">J241-L241+O241-Q241</f>
        <v>464482.47</v>
      </c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107" t="s">
        <v>23</v>
      </c>
      <c r="G242" s="108" t="n">
        <f aca="false">SUMIF($G$9:$G$233,$F$242,H9:H233)</f>
        <v>173</v>
      </c>
      <c r="H242" s="108" t="n">
        <f aca="false">SUMIF($G$9:$G$233,$F$242,I9:I233)</f>
        <v>53</v>
      </c>
      <c r="I242" s="108" t="n">
        <f aca="false">SUMIF($G$9:$G$233,$F$242,J9:J233)</f>
        <v>53</v>
      </c>
      <c r="J242" s="110" t="n">
        <f aca="false">SUMIF($G$9:$G$233,F242,$K$9:$K$233)</f>
        <v>61317.85</v>
      </c>
      <c r="K242" s="110" t="n">
        <f aca="false">SUMIF($G$9:$G$233,$F$242,L9:L233)</f>
        <v>11592.05</v>
      </c>
      <c r="L242" s="110" t="n">
        <f aca="false">SUMIF($G$9:$G$233,$F$242,M9:M233)</f>
        <v>7539.45</v>
      </c>
      <c r="M242" s="110" t="n">
        <f aca="false">SUMIF($G$9:$G$233,$F$242,N9:N233)</f>
        <v>5851.75</v>
      </c>
      <c r="N242" s="108" t="n">
        <f aca="false">SUMIF($G$9:$G$233,$F$242,O9:O233)</f>
        <v>74</v>
      </c>
      <c r="O242" s="110" t="n">
        <f aca="false">SUMIF($G$9:$G$233,F242,$P$9:$P$233)</f>
        <v>167929.71</v>
      </c>
      <c r="P242" s="110" t="n">
        <f aca="false">SUMIF($G$9:$G$233,$F$242,Q9:Q233)</f>
        <v>32460.55</v>
      </c>
      <c r="Q242" s="110" t="n">
        <f aca="false">SUMIF($G$9:$G$233,$F$242,R9:R233)</f>
        <v>32460.55</v>
      </c>
      <c r="R242" s="110" t="n">
        <f aca="false">SUMIF($G$9:$G$233,$F$242,S9:S233)</f>
        <v>19029.6</v>
      </c>
      <c r="S242" s="110" t="n">
        <f aca="false">Q242+L242</f>
        <v>40000</v>
      </c>
      <c r="T242" s="111" t="n">
        <f aca="false">J242-L242+O242-Q242</f>
        <v>189247.56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16" t="n">
        <f aca="false">G242+G241+G240</f>
        <v>1216</v>
      </c>
      <c r="H243" s="216" t="n">
        <f aca="false">H242+H241+H240</f>
        <v>518</v>
      </c>
      <c r="I243" s="216" t="n">
        <f aca="false">I242+I241+I240</f>
        <v>617</v>
      </c>
      <c r="J243" s="217" t="n">
        <f aca="false">J242+J241+J240</f>
        <v>842517.39</v>
      </c>
      <c r="K243" s="217" t="n">
        <f aca="false">K242+K241+K240</f>
        <v>563230.69</v>
      </c>
      <c r="L243" s="217" t="n">
        <f aca="false">L242+L241+L240</f>
        <v>221160.28</v>
      </c>
      <c r="M243" s="217" t="n">
        <f aca="false">M242+M241+M240</f>
        <v>343869.56</v>
      </c>
      <c r="N243" s="216" t="n">
        <f aca="false">N242+N241+N240</f>
        <v>762</v>
      </c>
      <c r="O243" s="217" t="n">
        <f aca="false">O242+O241+O240</f>
        <v>2192427.36</v>
      </c>
      <c r="P243" s="217" t="n">
        <f aca="false">P242+P241+P240</f>
        <v>1627424.37</v>
      </c>
      <c r="Q243" s="217" t="n">
        <f aca="false">Q242+Q241+Q240</f>
        <v>995788.67</v>
      </c>
      <c r="R243" s="217" t="n">
        <f aca="false">R242+R241+R240</f>
        <v>650665.3</v>
      </c>
      <c r="S243" s="217" t="n">
        <f aca="false">S242+S241+S240</f>
        <v>1216948.95</v>
      </c>
      <c r="T243" s="217" t="n">
        <f aca="false">T242+T241+T240</f>
        <v>1817995.8</v>
      </c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F304" s="0" t="s">
        <v>22</v>
      </c>
      <c r="G304" s="0" t="n">
        <v>782</v>
      </c>
      <c r="H304" s="248" t="n">
        <v>444</v>
      </c>
      <c r="I304" s="248" t="n">
        <v>504</v>
      </c>
      <c r="J304" s="0" t="n">
        <v>657677.74</v>
      </c>
      <c r="K304" s="236"/>
      <c r="N304" s="0" t="n">
        <v>528</v>
      </c>
      <c r="O304" s="0" t="n">
        <v>1567410.88</v>
      </c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</sheetData>
  <mergeCells count="55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9"/>
    <mergeCell ref="B167:B169"/>
    <mergeCell ref="C167:C169"/>
    <mergeCell ref="D167:D169"/>
    <mergeCell ref="E167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B176:B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F238:F239"/>
    <mergeCell ref="G238:M238"/>
    <mergeCell ref="N238:R238"/>
    <mergeCell ref="S238:S239"/>
    <mergeCell ref="T238:T239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1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24236.65</v>
      </c>
      <c r="R9" s="149" t="n">
        <v>2037.73</v>
      </c>
      <c r="S9" s="190" t="n">
        <v>22198.92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15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9438.15</v>
      </c>
      <c r="N11" s="239" t="n">
        <v>19018.76</v>
      </c>
      <c r="O11" s="151" t="n">
        <v>7</v>
      </c>
      <c r="P11" s="149" t="n">
        <v>30607.11</v>
      </c>
      <c r="Q11" s="149" t="n">
        <f aca="false">R11+S11</f>
        <v>30607.11</v>
      </c>
      <c r="R11" s="149" t="n">
        <v>21512.99</v>
      </c>
      <c r="S11" s="150" t="n">
        <v>9094.12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3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/>
      <c r="S12" s="156" t="n">
        <v>2466.8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22</v>
      </c>
      <c r="I13" s="148" t="n">
        <v>16</v>
      </c>
      <c r="J13" s="148" t="n">
        <v>22</v>
      </c>
      <c r="K13" s="149" t="n">
        <v>23989.03</v>
      </c>
      <c r="L13" s="149" t="n">
        <f aca="false">M13+N13</f>
        <v>22535.38</v>
      </c>
      <c r="M13" s="149" t="n">
        <v>22535.38</v>
      </c>
      <c r="N13" s="190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2</v>
      </c>
      <c r="J14" s="154" t="n">
        <v>2</v>
      </c>
      <c r="K14" s="155" t="n">
        <v>1938.2</v>
      </c>
      <c r="L14" s="155" t="n">
        <f aca="false">M14+N14</f>
        <v>1938.2</v>
      </c>
      <c r="M14" s="155" t="n">
        <v>0</v>
      </c>
      <c r="N14" s="156" t="n">
        <v>1938.2</v>
      </c>
      <c r="O14" s="209" t="n">
        <v>6</v>
      </c>
      <c r="P14" s="155" t="n">
        <v>11273.8</v>
      </c>
      <c r="Q14" s="155" t="n">
        <f aca="false">R14+S14</f>
        <v>10916.3</v>
      </c>
      <c r="R14" s="155" t="n">
        <f aca="false">1585.8+2106.3</f>
        <v>3692.1</v>
      </c>
      <c r="S14" s="167" t="n">
        <v>7224.2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10924.4</v>
      </c>
      <c r="R16" s="166"/>
      <c r="S16" s="167" t="n">
        <v>10924.4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4</v>
      </c>
      <c r="I18" s="154" t="n">
        <v>1</v>
      </c>
      <c r="J18" s="154" t="n">
        <v>1</v>
      </c>
      <c r="K18" s="155" t="n">
        <v>704.8</v>
      </c>
      <c r="L18" s="155" t="n">
        <f aca="false">M18+N18</f>
        <v>704.8</v>
      </c>
      <c r="M18" s="155"/>
      <c r="N18" s="226" t="n">
        <v>704.8</v>
      </c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14</v>
      </c>
      <c r="I19" s="160" t="n">
        <v>4</v>
      </c>
      <c r="J19" s="160" t="n">
        <v>4</v>
      </c>
      <c r="K19" s="161" t="n">
        <v>4012.08</v>
      </c>
      <c r="L19" s="161" t="n">
        <f aca="false">M19+N19</f>
        <v>4012.08</v>
      </c>
      <c r="M19" s="161"/>
      <c r="N19" s="190" t="n">
        <v>4012.08</v>
      </c>
      <c r="O19" s="163" t="n">
        <v>15</v>
      </c>
      <c r="P19" s="161" t="n">
        <v>30994.71</v>
      </c>
      <c r="Q19" s="161" t="n">
        <f aca="false">R19+S19</f>
        <v>17766.28</v>
      </c>
      <c r="R19" s="161" t="n">
        <v>9903.11</v>
      </c>
      <c r="S19" s="190" t="n">
        <v>7863.17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/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20</v>
      </c>
      <c r="I21" s="160" t="n">
        <v>12</v>
      </c>
      <c r="J21" s="160" t="n">
        <v>17</v>
      </c>
      <c r="K21" s="161" t="n">
        <v>20579.27</v>
      </c>
      <c r="L21" s="161" t="n">
        <f aca="false">M21+N21</f>
        <v>15483.57</v>
      </c>
      <c r="M21" s="161" t="n">
        <v>7998.6</v>
      </c>
      <c r="N21" s="190" t="n">
        <v>7484.97</v>
      </c>
      <c r="O21" s="151" t="n">
        <v>16</v>
      </c>
      <c r="P21" s="149" t="n">
        <v>29366.23</v>
      </c>
      <c r="Q21" s="149" t="n">
        <f aca="false">R21+S21</f>
        <v>21911.73</v>
      </c>
      <c r="R21" s="149" t="n">
        <v>13470.86</v>
      </c>
      <c r="S21" s="198" t="n">
        <v>8440.87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1</v>
      </c>
      <c r="P22" s="155" t="n">
        <v>704.8</v>
      </c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15</v>
      </c>
      <c r="I23" s="148" t="n">
        <v>8</v>
      </c>
      <c r="J23" s="148" t="n">
        <v>8</v>
      </c>
      <c r="K23" s="148" t="n">
        <v>2378.7</v>
      </c>
      <c r="L23" s="149" t="n">
        <f aca="false">M23+N23</f>
        <v>0</v>
      </c>
      <c r="M23" s="149"/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17</v>
      </c>
      <c r="I25" s="160" t="n">
        <v>11</v>
      </c>
      <c r="J25" s="160" t="n">
        <v>15</v>
      </c>
      <c r="K25" s="161" t="n">
        <v>22403.43</v>
      </c>
      <c r="L25" s="161" t="n">
        <f aca="false">M25+N25</f>
        <v>21522.43</v>
      </c>
      <c r="M25" s="161" t="n">
        <v>10416.76</v>
      </c>
      <c r="N25" s="190" t="n">
        <v>11105.67</v>
      </c>
      <c r="O25" s="151" t="n">
        <v>7</v>
      </c>
      <c r="P25" s="149" t="n">
        <v>12143.43</v>
      </c>
      <c r="Q25" s="149" t="n">
        <f aca="false">R25+S25</f>
        <v>10769.07</v>
      </c>
      <c r="R25" s="149" t="n">
        <v>9706.58</v>
      </c>
      <c r="S25" s="198" t="n">
        <v>1062.49</v>
      </c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3</v>
      </c>
      <c r="I26" s="165" t="n">
        <v>2</v>
      </c>
      <c r="J26" s="165" t="n">
        <v>2</v>
      </c>
      <c r="K26" s="166" t="n">
        <v>1409.6</v>
      </c>
      <c r="L26" s="166" t="n">
        <f aca="false">M26+N26</f>
        <v>0</v>
      </c>
      <c r="M26" s="166"/>
      <c r="N26" s="156"/>
      <c r="O26" s="157" t="n">
        <v>8</v>
      </c>
      <c r="P26" s="155" t="n">
        <v>19558.2</v>
      </c>
      <c r="Q26" s="155" t="n">
        <f aca="false">R26+S26</f>
        <v>15505.6</v>
      </c>
      <c r="R26" s="155"/>
      <c r="S26" s="156" t="n">
        <v>15505.6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/>
      <c r="N28" s="156" t="n">
        <v>4052.6</v>
      </c>
      <c r="O28" s="157" t="n">
        <v>5</v>
      </c>
      <c r="P28" s="155" t="n">
        <v>19381.4</v>
      </c>
      <c r="Q28" s="155" t="n">
        <f aca="false">R28+S28</f>
        <v>17267.6</v>
      </c>
      <c r="R28" s="155" t="n">
        <f aca="false">5286+2290.6</f>
        <v>7576.6</v>
      </c>
      <c r="S28" s="156" t="n">
        <f aca="false">2819.2+1762+5109.8</f>
        <v>9691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 t="s">
        <v>20</v>
      </c>
      <c r="D29" s="19"/>
      <c r="E29" s="19" t="s">
        <v>278</v>
      </c>
      <c r="F29" s="20"/>
      <c r="G29" s="146" t="s">
        <v>22</v>
      </c>
      <c r="H29" s="147" t="n">
        <v>6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10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 t="n">
        <v>3</v>
      </c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3</v>
      </c>
      <c r="I32" s="154" t="n">
        <v>1</v>
      </c>
      <c r="J32" s="154" t="n">
        <v>1</v>
      </c>
      <c r="K32" s="155" t="n">
        <v>704.8</v>
      </c>
      <c r="L32" s="155" t="n">
        <f aca="false">M32+N32</f>
        <v>704.8</v>
      </c>
      <c r="M32" s="155"/>
      <c r="N32" s="156" t="n">
        <v>704.8</v>
      </c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9</v>
      </c>
      <c r="I35" s="160" t="n">
        <v>6</v>
      </c>
      <c r="J35" s="160" t="n">
        <v>6</v>
      </c>
      <c r="K35" s="161" t="n">
        <v>9138.09</v>
      </c>
      <c r="L35" s="161" t="n">
        <f aca="false">M35+N35</f>
        <v>9138.09</v>
      </c>
      <c r="M35" s="161" t="n">
        <v>4815.55</v>
      </c>
      <c r="N35" s="190" t="n">
        <v>4322.54</v>
      </c>
      <c r="O35" s="151" t="n">
        <v>10</v>
      </c>
      <c r="P35" s="149" t="n">
        <v>39637.95</v>
      </c>
      <c r="Q35" s="149" t="n">
        <f aca="false">R35+S35</f>
        <v>39637.95</v>
      </c>
      <c r="R35" s="149" t="n">
        <v>17818.29</v>
      </c>
      <c r="S35" s="198" t="n">
        <v>21819.66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2</v>
      </c>
      <c r="J36" s="154" t="n">
        <v>2</v>
      </c>
      <c r="K36" s="155" t="n">
        <v>4933.6</v>
      </c>
      <c r="L36" s="155" t="n">
        <f aca="false">M36+N36</f>
        <v>1233.4</v>
      </c>
      <c r="M36" s="155"/>
      <c r="N36" s="156" t="n">
        <v>1233.4</v>
      </c>
      <c r="O36" s="157" t="n">
        <v>5</v>
      </c>
      <c r="P36" s="155" t="n">
        <v>13567.4</v>
      </c>
      <c r="Q36" s="155" t="n">
        <f aca="false">R36+S36</f>
        <v>10219.38</v>
      </c>
      <c r="R36" s="155"/>
      <c r="S36" s="156" t="n">
        <f aca="false">7400.4+1233.4+1585.58</f>
        <v>10219.38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9</v>
      </c>
      <c r="I37" s="160" t="n">
        <v>9</v>
      </c>
      <c r="J37" s="160" t="n">
        <v>11</v>
      </c>
      <c r="K37" s="161" t="n">
        <v>26775.53</v>
      </c>
      <c r="L37" s="161" t="n">
        <f aca="false">M37+N37</f>
        <v>17227.7</v>
      </c>
      <c r="M37" s="161" t="n">
        <v>1924.1</v>
      </c>
      <c r="N37" s="190" t="n">
        <v>15303.6</v>
      </c>
      <c r="O37" s="151" t="n">
        <v>14</v>
      </c>
      <c r="P37" s="149" t="n">
        <v>54101.29</v>
      </c>
      <c r="Q37" s="149" t="n">
        <f aca="false">R37+S37</f>
        <v>52304.25</v>
      </c>
      <c r="R37" s="149" t="n">
        <v>15233.45</v>
      </c>
      <c r="S37" s="198" t="n">
        <v>37070.8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7</v>
      </c>
      <c r="I39" s="148" t="n">
        <v>1</v>
      </c>
      <c r="J39" s="148" t="n">
        <v>1</v>
      </c>
      <c r="K39" s="149" t="n">
        <v>621.99</v>
      </c>
      <c r="L39" s="149" t="n">
        <f aca="false">M39+N39</f>
        <v>621.99</v>
      </c>
      <c r="M39" s="149"/>
      <c r="N39" s="190" t="n">
        <v>621.99</v>
      </c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4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10849.9</v>
      </c>
      <c r="R40" s="166"/>
      <c r="S40" s="167" t="n">
        <v>10849.9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 t="n">
        <v>2</v>
      </c>
      <c r="I41" s="148" t="n">
        <v>1</v>
      </c>
      <c r="J41" s="148" t="n">
        <v>1</v>
      </c>
      <c r="K41" s="149" t="n">
        <v>352.4</v>
      </c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12699.01</v>
      </c>
      <c r="R41" s="149" t="n">
        <v>4593.81</v>
      </c>
      <c r="S41" s="198" t="n">
        <v>8105.2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3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157" t="n">
        <v>4</v>
      </c>
      <c r="P42" s="155" t="n">
        <v>11981.6</v>
      </c>
      <c r="Q42" s="155" t="n">
        <f aca="false">R42+S42</f>
        <v>11981.6</v>
      </c>
      <c r="R42" s="155" t="n">
        <f aca="false">528.6</f>
        <v>528.6</v>
      </c>
      <c r="S42" s="156" t="n">
        <v>11453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5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42</v>
      </c>
      <c r="I47" s="148" t="n">
        <v>39</v>
      </c>
      <c r="J47" s="148" t="n">
        <v>39</v>
      </c>
      <c r="K47" s="149" t="n">
        <v>34720.47</v>
      </c>
      <c r="L47" s="149" t="n">
        <f aca="false">M47+N47</f>
        <v>34720.47</v>
      </c>
      <c r="M47" s="149" t="n">
        <v>14941.16</v>
      </c>
      <c r="N47" s="190" t="n">
        <v>19779.31</v>
      </c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1409.6</v>
      </c>
      <c r="M48" s="155"/>
      <c r="N48" s="156" t="n">
        <v>1409.6</v>
      </c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12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11601.93</v>
      </c>
      <c r="M49" s="161" t="n">
        <v>1830.37</v>
      </c>
      <c r="N49" s="190" t="n">
        <v>9771.56</v>
      </c>
      <c r="O49" s="151" t="n">
        <v>17</v>
      </c>
      <c r="P49" s="149" t="n">
        <v>61726.54</v>
      </c>
      <c r="Q49" s="149" t="n">
        <f aca="false">R49+S49</f>
        <v>47845.54</v>
      </c>
      <c r="R49" s="149" t="n">
        <v>34571.95</v>
      </c>
      <c r="S49" s="198" t="n">
        <v>13273.59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18745.92</v>
      </c>
      <c r="R51" s="161" t="n">
        <v>3805.92</v>
      </c>
      <c r="S51" s="190" t="n">
        <v>14940</v>
      </c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 t="n">
        <v>1</v>
      </c>
      <c r="J52" s="165" t="n">
        <v>1</v>
      </c>
      <c r="K52" s="166" t="n">
        <v>1057.2</v>
      </c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</f>
        <v>5081.89</v>
      </c>
      <c r="S52" s="156" t="n">
        <v>13038.8</v>
      </c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5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 t="n">
        <v>43131.21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/>
      <c r="I54" s="165"/>
      <c r="J54" s="165"/>
      <c r="K54" s="166"/>
      <c r="L54" s="166" t="n">
        <f aca="false">M54+N54</f>
        <v>0</v>
      </c>
      <c r="M54" s="166"/>
      <c r="N54" s="156"/>
      <c r="O54" s="168"/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 t="n">
        <v>1</v>
      </c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 t="n">
        <v>2</v>
      </c>
      <c r="J56" s="154" t="n">
        <v>2</v>
      </c>
      <c r="K56" s="155" t="n">
        <v>1233.4</v>
      </c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11</v>
      </c>
      <c r="I57" s="160" t="n">
        <v>6</v>
      </c>
      <c r="J57" s="160" t="n">
        <v>6</v>
      </c>
      <c r="K57" s="161" t="n">
        <v>6422.49</v>
      </c>
      <c r="L57" s="161" t="n">
        <f aca="false">M57+N57</f>
        <v>5893.89</v>
      </c>
      <c r="M57" s="161"/>
      <c r="N57" s="190" t="n">
        <v>5893.89</v>
      </c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 t="s">
        <v>20</v>
      </c>
      <c r="D59" s="19"/>
      <c r="E59" s="19" t="s">
        <v>278</v>
      </c>
      <c r="F59" s="20"/>
      <c r="G59" s="146" t="s">
        <v>22</v>
      </c>
      <c r="H59" s="173" t="n">
        <v>7</v>
      </c>
      <c r="I59" s="148" t="n">
        <v>2</v>
      </c>
      <c r="J59" s="148" t="n">
        <v>2</v>
      </c>
      <c r="K59" s="149" t="n">
        <v>5127.42</v>
      </c>
      <c r="L59" s="149" t="n">
        <f aca="false">M59+N59</f>
        <v>3717.82</v>
      </c>
      <c r="M59" s="149"/>
      <c r="N59" s="190" t="n">
        <v>3717.82</v>
      </c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5</v>
      </c>
      <c r="I60" s="154"/>
      <c r="J60" s="154"/>
      <c r="K60" s="155"/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9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7830.33</v>
      </c>
      <c r="M61" s="161" t="n">
        <v>2238.62</v>
      </c>
      <c r="N61" s="190" t="n">
        <v>5591.71</v>
      </c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3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 t="s">
        <v>20</v>
      </c>
      <c r="D65" s="78"/>
      <c r="E65" s="56" t="s">
        <v>279</v>
      </c>
      <c r="F65" s="38"/>
      <c r="G65" s="158" t="s">
        <v>22</v>
      </c>
      <c r="H65" s="169" t="n">
        <v>16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0</v>
      </c>
      <c r="M65" s="161"/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2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3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 t="n">
        <v>881</v>
      </c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 t="s">
        <v>33</v>
      </c>
      <c r="D73" s="19" t="s">
        <v>280</v>
      </c>
      <c r="E73" s="19" t="s">
        <v>259</v>
      </c>
      <c r="F73" s="20"/>
      <c r="G73" s="146" t="s">
        <v>22</v>
      </c>
      <c r="H73" s="173" t="n">
        <v>8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21</v>
      </c>
      <c r="I74" s="154" t="n">
        <v>8</v>
      </c>
      <c r="J74" s="154" t="n">
        <v>8</v>
      </c>
      <c r="K74" s="155" t="n">
        <v>9556.2</v>
      </c>
      <c r="L74" s="155" t="n">
        <f aca="false">M74+N74</f>
        <v>0</v>
      </c>
      <c r="M74" s="155"/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4510.72</v>
      </c>
      <c r="M75" s="161" t="n">
        <v>1691.52</v>
      </c>
      <c r="N75" s="190" t="n">
        <v>2819.2</v>
      </c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1</v>
      </c>
      <c r="J76" s="165" t="n">
        <v>1</v>
      </c>
      <c r="K76" s="166" t="n">
        <v>704.8</v>
      </c>
      <c r="L76" s="166" t="n">
        <f aca="false">M76+N76</f>
        <v>704.8</v>
      </c>
      <c r="M76" s="166"/>
      <c r="N76" s="156" t="n">
        <v>704.8</v>
      </c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1162.92</v>
      </c>
      <c r="L77" s="149" t="n">
        <f aca="false">M77+N77</f>
        <v>0</v>
      </c>
      <c r="M77" s="149"/>
      <c r="N77" s="190"/>
      <c r="O77" s="151" t="n">
        <v>8</v>
      </c>
      <c r="P77" s="149" t="n">
        <v>28069.07</v>
      </c>
      <c r="Q77" s="149" t="n">
        <f aca="false">R77+S77</f>
        <v>16379.75</v>
      </c>
      <c r="R77" s="149" t="n">
        <v>8726.55</v>
      </c>
      <c r="S77" s="190" t="n">
        <v>7653.2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1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7</v>
      </c>
      <c r="I81" s="148" t="n">
        <v>2</v>
      </c>
      <c r="J81" s="148" t="n">
        <v>3</v>
      </c>
      <c r="K81" s="149" t="n">
        <v>3057.07</v>
      </c>
      <c r="L81" s="149" t="n">
        <f aca="false">M81+N81</f>
        <v>1573.47</v>
      </c>
      <c r="M81" s="149" t="n">
        <v>1573.47</v>
      </c>
      <c r="N81" s="190"/>
      <c r="O81" s="151" t="n">
        <v>5</v>
      </c>
      <c r="P81" s="149" t="n">
        <v>14207.76</v>
      </c>
      <c r="Q81" s="149" t="n">
        <f aca="false">R81+S81</f>
        <v>8219.9</v>
      </c>
      <c r="R81" s="149" t="n">
        <v>8219.9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30</v>
      </c>
      <c r="I82" s="165" t="n">
        <v>21</v>
      </c>
      <c r="J82" s="165" t="n">
        <v>21</v>
      </c>
      <c r="K82" s="166" t="n">
        <v>23991.8</v>
      </c>
      <c r="L82" s="166" t="n">
        <v>139.05</v>
      </c>
      <c r="M82" s="166" t="n">
        <v>139.05</v>
      </c>
      <c r="N82" s="156" t="n">
        <v>1799.15</v>
      </c>
      <c r="O82" s="168" t="n">
        <v>25</v>
      </c>
      <c r="P82" s="166" t="n">
        <v>62948.62</v>
      </c>
      <c r="Q82" s="166" t="n">
        <v>9955.3</v>
      </c>
      <c r="R82" s="166" t="n">
        <v>9955.3</v>
      </c>
      <c r="S82" s="156" t="n">
        <v>2290.6</v>
      </c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5</v>
      </c>
      <c r="I83" s="148" t="n">
        <v>1</v>
      </c>
      <c r="J83" s="148" t="n">
        <v>2</v>
      </c>
      <c r="K83" s="149" t="n">
        <v>4177.7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6</v>
      </c>
      <c r="I84" s="165" t="n">
        <v>1</v>
      </c>
      <c r="J84" s="165" t="n">
        <v>1</v>
      </c>
      <c r="K84" s="166" t="n">
        <v>2290.6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5</v>
      </c>
      <c r="I85" s="148" t="n">
        <v>2</v>
      </c>
      <c r="J85" s="148" t="n">
        <v>2</v>
      </c>
      <c r="K85" s="149" t="n">
        <v>4105.29</v>
      </c>
      <c r="L85" s="149" t="n">
        <f aca="false">M85+N85</f>
        <v>888.19</v>
      </c>
      <c r="M85" s="149"/>
      <c r="N85" s="190" t="n">
        <v>888.19</v>
      </c>
      <c r="O85" s="151" t="n">
        <v>12</v>
      </c>
      <c r="P85" s="149" t="n">
        <v>21614.18</v>
      </c>
      <c r="Q85" s="149" t="n">
        <f aca="false">R85+S85</f>
        <v>19442.54</v>
      </c>
      <c r="R85" s="149" t="n">
        <v>16202.52</v>
      </c>
      <c r="S85" s="190" t="n">
        <v>3240.02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5</v>
      </c>
      <c r="I86" s="154" t="n">
        <v>2</v>
      </c>
      <c r="J86" s="154" t="n">
        <v>2</v>
      </c>
      <c r="K86" s="235" t="n">
        <v>4304</v>
      </c>
      <c r="L86" s="155" t="n">
        <f aca="false">M86+N86</f>
        <v>2819.2</v>
      </c>
      <c r="M86" s="155"/>
      <c r="N86" s="156" t="n">
        <v>2819.2</v>
      </c>
      <c r="O86" s="157"/>
      <c r="P86" s="155" t="n">
        <v>5462.2</v>
      </c>
      <c r="Q86" s="155" t="n">
        <f aca="false">R86+S86</f>
        <v>4405</v>
      </c>
      <c r="R86" s="155"/>
      <c r="S86" s="156" t="n">
        <v>4405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5521.12</v>
      </c>
      <c r="R87" s="161"/>
      <c r="S87" s="190" t="n">
        <v>5521.12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6</v>
      </c>
      <c r="I88" s="154" t="n">
        <v>1</v>
      </c>
      <c r="J88" s="154" t="n">
        <v>1</v>
      </c>
      <c r="K88" s="155" t="n">
        <v>1409.6</v>
      </c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2848.8</v>
      </c>
      <c r="L89" s="161" t="n">
        <f aca="false">M89+N89</f>
        <v>0</v>
      </c>
      <c r="M89" s="161"/>
      <c r="N89" s="190"/>
      <c r="O89" s="163" t="n">
        <v>3</v>
      </c>
      <c r="P89" s="161" t="n">
        <v>27324.13</v>
      </c>
      <c r="Q89" s="161" t="n">
        <f aca="false">R89+S89</f>
        <v>27324.13</v>
      </c>
      <c r="R89" s="161" t="n">
        <v>21210.6</v>
      </c>
      <c r="S89" s="190" t="n">
        <v>6113.53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 t="n">
        <v>1</v>
      </c>
      <c r="J90" s="165" t="n">
        <v>1</v>
      </c>
      <c r="K90" s="166" t="n">
        <v>704.8</v>
      </c>
      <c r="L90" s="161" t="n">
        <f aca="false">M90+N90</f>
        <v>704.8</v>
      </c>
      <c r="M90" s="166" t="n">
        <v>0</v>
      </c>
      <c r="N90" s="156" t="n">
        <v>704.8</v>
      </c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8641.68</f>
        <v>8641.68</v>
      </c>
      <c r="S90" s="156" t="n">
        <f aca="false">3347.8</f>
        <v>3347.8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4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2277.26</v>
      </c>
      <c r="M91" s="149" t="n">
        <v>2277.26</v>
      </c>
      <c r="N91" s="190"/>
      <c r="O91" s="151" t="n">
        <v>2</v>
      </c>
      <c r="P91" s="149" t="n">
        <v>3239.04</v>
      </c>
      <c r="Q91" s="149" t="n">
        <f aca="false">R91+S91</f>
        <v>3239.04</v>
      </c>
      <c r="R91" s="149" t="n">
        <v>3239.04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5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/>
      <c r="N92" s="156" t="n">
        <v>5109.8</v>
      </c>
      <c r="O92" s="157" t="n">
        <v>1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22</v>
      </c>
      <c r="I93" s="160" t="n">
        <v>14</v>
      </c>
      <c r="J93" s="160" t="n">
        <v>15</v>
      </c>
      <c r="K93" s="161" t="n">
        <v>20159.67</v>
      </c>
      <c r="L93" s="161" t="n">
        <f aca="false">M93+N93</f>
        <v>10561.52</v>
      </c>
      <c r="M93" s="161"/>
      <c r="N93" s="190" t="n">
        <v>10561.52</v>
      </c>
      <c r="O93" s="163" t="n">
        <v>21</v>
      </c>
      <c r="P93" s="161" t="n">
        <v>46871.6</v>
      </c>
      <c r="Q93" s="161" t="n">
        <f aca="false">R93+S93</f>
        <v>40347.41</v>
      </c>
      <c r="R93" s="161" t="n">
        <v>22350.87</v>
      </c>
      <c r="S93" s="190" t="n">
        <v>17996.54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21936.9</v>
      </c>
      <c r="R94" s="166"/>
      <c r="S94" s="156" t="n">
        <v>21936.9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13</v>
      </c>
      <c r="I95" s="148" t="n">
        <v>9</v>
      </c>
      <c r="J95" s="148" t="n">
        <v>9</v>
      </c>
      <c r="K95" s="149" t="n">
        <v>5563.84</v>
      </c>
      <c r="L95" s="149" t="n">
        <f aca="false">M95+N95</f>
        <v>5035.24</v>
      </c>
      <c r="M95" s="149" t="n">
        <v>599.08</v>
      </c>
      <c r="N95" s="190" t="n">
        <v>4436.16</v>
      </c>
      <c r="O95" s="151" t="n">
        <v>2</v>
      </c>
      <c r="P95" s="149" t="n">
        <v>12380.09</v>
      </c>
      <c r="Q95" s="149" t="n">
        <f aca="false">R95+S95</f>
        <v>12380.09</v>
      </c>
      <c r="R95" s="149" t="n">
        <v>3600.4</v>
      </c>
      <c r="S95" s="190" t="n">
        <v>8779.69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6</v>
      </c>
      <c r="P96" s="166" t="n">
        <v>8457.6</v>
      </c>
      <c r="Q96" s="166" t="n">
        <f aca="false">R96+S96</f>
        <v>6431.3</v>
      </c>
      <c r="R96" s="166"/>
      <c r="S96" s="156" t="n">
        <f aca="false">6167+264.3</f>
        <v>6431.3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8</v>
      </c>
      <c r="I97" s="148" t="n">
        <v>7</v>
      </c>
      <c r="J97" s="148" t="n">
        <v>7</v>
      </c>
      <c r="K97" s="149" t="n">
        <v>4148.63</v>
      </c>
      <c r="L97" s="149" t="n">
        <f aca="false">M97+N97</f>
        <v>2293.24</v>
      </c>
      <c r="M97" s="149" t="n">
        <v>2293.24</v>
      </c>
      <c r="N97" s="190"/>
      <c r="O97" s="151" t="n">
        <v>5</v>
      </c>
      <c r="P97" s="149" t="n">
        <v>8651.42</v>
      </c>
      <c r="Q97" s="149" t="n">
        <f aca="false">R97+S97</f>
        <v>1673.9</v>
      </c>
      <c r="R97" s="149" t="n">
        <v>1673.9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4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6</v>
      </c>
      <c r="P98" s="182" t="n">
        <v>19029.6</v>
      </c>
      <c r="Q98" s="182" t="n">
        <f aca="false">R98+S98</f>
        <v>8986.2</v>
      </c>
      <c r="R98" s="182" t="n">
        <f aca="false">1057.2+2290.6</f>
        <v>3347.8</v>
      </c>
      <c r="S98" s="167" t="n">
        <v>5638.4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 t="n">
        <v>2</v>
      </c>
      <c r="J99" s="154" t="n">
        <v>2</v>
      </c>
      <c r="K99" s="155" t="n">
        <v>7973.05</v>
      </c>
      <c r="L99" s="155" t="n">
        <f aca="false">M99+N99</f>
        <v>0</v>
      </c>
      <c r="M99" s="155"/>
      <c r="N99" s="156"/>
      <c r="O99" s="157" t="n">
        <v>4</v>
      </c>
      <c r="P99" s="155" t="n">
        <v>8281.4</v>
      </c>
      <c r="Q99" s="155" t="n">
        <v>3524</v>
      </c>
      <c r="R99" s="155" t="n">
        <v>3524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5452.69</v>
      </c>
      <c r="M100" s="161" t="n">
        <v>5452.69</v>
      </c>
      <c r="N100" s="190"/>
      <c r="O100" s="163" t="n">
        <v>7</v>
      </c>
      <c r="P100" s="161" t="n">
        <v>34500.95</v>
      </c>
      <c r="Q100" s="161" t="n">
        <f aca="false">R100+S100</f>
        <v>29718.63</v>
      </c>
      <c r="R100" s="161" t="n">
        <v>29718.63</v>
      </c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5</v>
      </c>
      <c r="I102" s="148" t="n">
        <v>3</v>
      </c>
      <c r="J102" s="148" t="n">
        <v>3</v>
      </c>
      <c r="K102" s="149" t="n">
        <v>5612.43</v>
      </c>
      <c r="L102" s="149" t="n">
        <f aca="false">M102+N102</f>
        <v>3473.61</v>
      </c>
      <c r="M102" s="149" t="n">
        <v>3473.61</v>
      </c>
      <c r="N102" s="190"/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12611.29</v>
      </c>
      <c r="M104" s="149" t="n">
        <v>2195.46</v>
      </c>
      <c r="N104" s="190" t="n">
        <v>10415.83</v>
      </c>
      <c r="O104" s="151" t="n">
        <v>2</v>
      </c>
      <c r="P104" s="149" t="n">
        <v>8372.97</v>
      </c>
      <c r="Q104" s="149" t="n">
        <f aca="false">R104+S104</f>
        <v>8372.97</v>
      </c>
      <c r="R104" s="149" t="n">
        <v>1321.5</v>
      </c>
      <c r="S104" s="190" t="n">
        <v>7051.47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 t="n">
        <v>1</v>
      </c>
      <c r="J105" s="165" t="n">
        <v>1</v>
      </c>
      <c r="K105" s="166" t="n">
        <v>2114.4</v>
      </c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10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6281.55</v>
      </c>
      <c r="M108" s="161" t="n">
        <v>704.8</v>
      </c>
      <c r="N108" s="190" t="n">
        <v>5576.75</v>
      </c>
      <c r="O108" s="163" t="n">
        <v>3</v>
      </c>
      <c r="P108" s="161" t="n">
        <v>10582.46</v>
      </c>
      <c r="Q108" s="161" t="n">
        <f aca="false">R108+S108</f>
        <v>5828.06</v>
      </c>
      <c r="R108" s="161" t="n">
        <v>5828.06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3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21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12299.99</v>
      </c>
      <c r="M110" s="161" t="n">
        <v>1569.94</v>
      </c>
      <c r="N110" s="190" t="n">
        <v>10730.05</v>
      </c>
      <c r="O110" s="163" t="n">
        <v>20</v>
      </c>
      <c r="P110" s="161" t="n">
        <v>33342.82</v>
      </c>
      <c r="Q110" s="161" t="n">
        <f aca="false">R110+S110</f>
        <v>32814.22</v>
      </c>
      <c r="R110" s="161" t="n">
        <v>24550.45</v>
      </c>
      <c r="S110" s="190" t="n">
        <v>8263.77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 t="n">
        <v>1</v>
      </c>
      <c r="J112" s="148" t="n">
        <v>1</v>
      </c>
      <c r="K112" s="149" t="n">
        <v>528.6</v>
      </c>
      <c r="L112" s="149" t="n">
        <f aca="false">M112+N112</f>
        <v>528.6</v>
      </c>
      <c r="M112" s="149"/>
      <c r="N112" s="190" t="n">
        <v>528.6</v>
      </c>
      <c r="O112" s="151" t="n">
        <v>1</v>
      </c>
      <c r="P112" s="149" t="n">
        <v>1162.92</v>
      </c>
      <c r="Q112" s="149" t="n">
        <f aca="false">R112+S112</f>
        <v>1162.92</v>
      </c>
      <c r="R112" s="149"/>
      <c r="S112" s="190" t="n">
        <v>1162.92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17</v>
      </c>
      <c r="I114" s="148" t="n">
        <v>12</v>
      </c>
      <c r="J114" s="148" t="n">
        <v>13</v>
      </c>
      <c r="K114" s="149" t="n">
        <v>11971.66</v>
      </c>
      <c r="L114" s="149" t="n">
        <f aca="false">M114+N114</f>
        <v>6747.33</v>
      </c>
      <c r="M114" s="149" t="n">
        <v>6747.33</v>
      </c>
      <c r="N114" s="190"/>
      <c r="O114" s="151" t="n">
        <v>15</v>
      </c>
      <c r="P114" s="149" t="n">
        <v>19146</v>
      </c>
      <c r="Q114" s="149" t="n">
        <f aca="false">R114+S114</f>
        <v>8224.14</v>
      </c>
      <c r="R114" s="149" t="n">
        <v>8224.14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16</v>
      </c>
      <c r="I115" s="165" t="n">
        <v>6</v>
      </c>
      <c r="J115" s="165" t="n">
        <v>6</v>
      </c>
      <c r="K115" s="166" t="n">
        <v>7752.8</v>
      </c>
      <c r="L115" s="166" t="n">
        <v>2995.4</v>
      </c>
      <c r="M115" s="166" t="n">
        <v>2995.4</v>
      </c>
      <c r="N115" s="156"/>
      <c r="O115" s="168" t="n">
        <v>10</v>
      </c>
      <c r="P115" s="166" t="n">
        <v>27222.9</v>
      </c>
      <c r="Q115" s="166" t="n">
        <v>6255.1</v>
      </c>
      <c r="R115" s="166" t="n">
        <v>6255.1</v>
      </c>
      <c r="S115" s="156" t="n">
        <v>6695.6</v>
      </c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17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8527.08</v>
      </c>
      <c r="M116" s="149"/>
      <c r="N116" s="190" t="n">
        <v>8527.08</v>
      </c>
      <c r="O116" s="151" t="n">
        <v>14</v>
      </c>
      <c r="P116" s="149" t="n">
        <v>48557.24</v>
      </c>
      <c r="Q116" s="149" t="n">
        <f aca="false">R116+S116</f>
        <v>24491.76</v>
      </c>
      <c r="R116" s="149" t="n">
        <v>24491.76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17</v>
      </c>
      <c r="I118" s="160" t="n">
        <v>3</v>
      </c>
      <c r="J118" s="160" t="n">
        <v>3</v>
      </c>
      <c r="K118" s="161" t="n">
        <v>4915.98</v>
      </c>
      <c r="L118" s="161" t="n">
        <f aca="false">M118+N118</f>
        <v>3805.92</v>
      </c>
      <c r="M118" s="161" t="n">
        <v>3805.92</v>
      </c>
      <c r="N118" s="190"/>
      <c r="O118" s="163" t="n">
        <v>8</v>
      </c>
      <c r="P118" s="161" t="n">
        <v>55873.9</v>
      </c>
      <c r="Q118" s="161" t="n">
        <f aca="false">R118+S118</f>
        <v>27118.06</v>
      </c>
      <c r="R118" s="161" t="n">
        <v>27118.06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1</v>
      </c>
      <c r="K120" s="166" t="n">
        <v>2290.6</v>
      </c>
      <c r="L120" s="166" t="n">
        <f aca="false">M120+N120</f>
        <v>2290.6</v>
      </c>
      <c r="M120" s="166" t="n">
        <v>2266.65</v>
      </c>
      <c r="N120" s="156" t="n">
        <v>23.95</v>
      </c>
      <c r="O120" s="168" t="n">
        <v>6</v>
      </c>
      <c r="P120" s="166" t="n">
        <v>29143.12</v>
      </c>
      <c r="Q120" s="166" t="n">
        <f aca="false">R120+S120</f>
        <v>29167.43</v>
      </c>
      <c r="R120" s="166" t="n">
        <v>29167.43</v>
      </c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6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5</v>
      </c>
      <c r="J123" s="160" t="n">
        <v>6</v>
      </c>
      <c r="K123" s="161" t="n">
        <v>5246.27</v>
      </c>
      <c r="L123" s="161" t="n">
        <f aca="false">M123+N123</f>
        <v>2133.78</v>
      </c>
      <c r="M123" s="161" t="n">
        <v>1436.03</v>
      </c>
      <c r="N123" s="190" t="n">
        <v>697.75</v>
      </c>
      <c r="O123" s="163" t="n">
        <v>8</v>
      </c>
      <c r="P123" s="161" t="n">
        <v>22461.42</v>
      </c>
      <c r="Q123" s="161" t="n">
        <f aca="false">R123+S123</f>
        <v>17787.53</v>
      </c>
      <c r="R123" s="161" t="n">
        <v>7694.53</v>
      </c>
      <c r="S123" s="190" t="n">
        <v>10093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10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3</v>
      </c>
      <c r="P124" s="155" t="n">
        <v>6871.8</v>
      </c>
      <c r="Q124" s="155" t="n">
        <f aca="false">R124+S124</f>
        <v>1585.8</v>
      </c>
      <c r="R124" s="155"/>
      <c r="S124" s="156" t="n">
        <v>1585.8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6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2223.64</v>
      </c>
      <c r="M127" s="149" t="n">
        <v>1569.94</v>
      </c>
      <c r="N127" s="190" t="n">
        <v>653.7</v>
      </c>
      <c r="O127" s="151" t="n">
        <v>6</v>
      </c>
      <c r="P127" s="149" t="n">
        <v>19174.92</v>
      </c>
      <c r="Q127" s="149" t="n">
        <f aca="false">R127+S127</f>
        <v>19174.92</v>
      </c>
      <c r="R127" s="149" t="n">
        <v>14088.14</v>
      </c>
      <c r="S127" s="190" t="n">
        <v>5086.78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12</v>
      </c>
      <c r="I128" s="165" t="n">
        <v>6</v>
      </c>
      <c r="J128" s="165" t="n">
        <v>6</v>
      </c>
      <c r="K128" s="166" t="n">
        <v>3171.6</v>
      </c>
      <c r="L128" s="166" t="n">
        <v>1409.6</v>
      </c>
      <c r="M128" s="166" t="n">
        <v>1409.6</v>
      </c>
      <c r="N128" s="156"/>
      <c r="O128" s="168" t="n">
        <v>9</v>
      </c>
      <c r="P128" s="166" t="n">
        <v>24491.8</v>
      </c>
      <c r="Q128" s="166" t="n">
        <v>1233.4</v>
      </c>
      <c r="R128" s="166" t="n">
        <v>1233.4</v>
      </c>
      <c r="S128" s="156" t="n">
        <v>3700.2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17</v>
      </c>
      <c r="I129" s="148" t="n">
        <v>6</v>
      </c>
      <c r="J129" s="148" t="n">
        <v>7</v>
      </c>
      <c r="K129" s="149" t="n">
        <v>14834.62</v>
      </c>
      <c r="L129" s="149" t="n">
        <f aca="false">M129+N129</f>
        <v>6364.34</v>
      </c>
      <c r="M129" s="149" t="n">
        <v>6364.34</v>
      </c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10</v>
      </c>
      <c r="I130" s="188" t="n">
        <v>3</v>
      </c>
      <c r="J130" s="188" t="n">
        <v>3</v>
      </c>
      <c r="K130" s="189" t="n">
        <v>1938.2</v>
      </c>
      <c r="L130" s="189" t="n">
        <f aca="false">M130+N130</f>
        <v>1233.4</v>
      </c>
      <c r="M130" s="189"/>
      <c r="N130" s="167" t="n">
        <f aca="false">704.8+528.6</f>
        <v>1233.4</v>
      </c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5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 t="n">
        <v>1</v>
      </c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20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4493.1</v>
      </c>
      <c r="M134" s="161" t="n">
        <v>2378.7</v>
      </c>
      <c r="N134" s="190" t="n">
        <v>2114.4</v>
      </c>
      <c r="O134" s="163" t="n">
        <v>21</v>
      </c>
      <c r="P134" s="161" t="n">
        <v>35029.01</v>
      </c>
      <c r="Q134" s="161" t="n">
        <f aca="false">R134+S134</f>
        <v>27295.59</v>
      </c>
      <c r="R134" s="161" t="n">
        <v>13947.56</v>
      </c>
      <c r="S134" s="190" t="n">
        <v>13348.03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7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2643</v>
      </c>
      <c r="M135" s="182"/>
      <c r="N135" s="167" t="n">
        <v>2643</v>
      </c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2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3968.46</v>
      </c>
      <c r="M137" s="149"/>
      <c r="N137" s="190" t="n">
        <v>3968.46</v>
      </c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12</v>
      </c>
      <c r="I139" s="160" t="n">
        <v>11</v>
      </c>
      <c r="J139" s="160" t="n">
        <v>11</v>
      </c>
      <c r="K139" s="161" t="n">
        <v>14377.92</v>
      </c>
      <c r="L139" s="161" t="n">
        <f aca="false">M139+N139</f>
        <v>14377.92</v>
      </c>
      <c r="M139" s="161" t="n">
        <v>1057.2</v>
      </c>
      <c r="N139" s="190" t="n">
        <v>13320.72</v>
      </c>
      <c r="O139" s="163" t="n">
        <v>6</v>
      </c>
      <c r="P139" s="161" t="n">
        <v>20530.3</v>
      </c>
      <c r="Q139" s="161" t="n">
        <f aca="false">R139+S139</f>
        <v>20530.3</v>
      </c>
      <c r="R139" s="161" t="n">
        <v>7521.1</v>
      </c>
      <c r="S139" s="190" t="n">
        <v>13009.2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3700.2</v>
      </c>
      <c r="M140" s="166"/>
      <c r="N140" s="156" t="n">
        <v>3700.2</v>
      </c>
      <c r="O140" s="168" t="n">
        <v>2</v>
      </c>
      <c r="P140" s="166" t="n">
        <v>5286</v>
      </c>
      <c r="Q140" s="166" t="n">
        <f aca="false">R140+S140</f>
        <v>6519.4</v>
      </c>
      <c r="R140" s="166"/>
      <c r="S140" s="156" t="n">
        <v>6519.4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0</v>
      </c>
      <c r="M141" s="149"/>
      <c r="N141" s="190"/>
      <c r="O141" s="151" t="n">
        <v>5</v>
      </c>
      <c r="P141" s="149" t="n">
        <v>20672.92</v>
      </c>
      <c r="Q141" s="149" t="n">
        <f aca="false">R141+S141</f>
        <v>19139.98</v>
      </c>
      <c r="R141" s="149" t="n">
        <v>19139.98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/>
      <c r="S142" s="156" t="n">
        <v>2290.6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 t="n">
        <v>1</v>
      </c>
      <c r="P143" s="161" t="n">
        <v>18440.61</v>
      </c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26" t="s">
        <v>281</v>
      </c>
      <c r="G144" s="152" t="s">
        <v>26</v>
      </c>
      <c r="H144" s="153"/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/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14967.24</v>
      </c>
      <c r="R145" s="161" t="n">
        <v>7780.05</v>
      </c>
      <c r="S145" s="190" t="n">
        <v>7187.19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5682.4</v>
      </c>
      <c r="R146" s="166" t="n">
        <f aca="false">881</f>
        <v>881</v>
      </c>
      <c r="S146" s="156" t="n">
        <v>4801.4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7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11519.11</v>
      </c>
      <c r="M147" s="149"/>
      <c r="N147" s="190" t="n">
        <v>11519.11</v>
      </c>
      <c r="O147" s="151" t="n">
        <v>18</v>
      </c>
      <c r="P147" s="149" t="n">
        <v>41995.38</v>
      </c>
      <c r="Q147" s="149" t="n">
        <f aca="false">R147+S147</f>
        <v>37928.86</v>
      </c>
      <c r="R147" s="149" t="n">
        <v>19516.74</v>
      </c>
      <c r="S147" s="190" t="n">
        <v>18412.12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9</v>
      </c>
      <c r="I148" s="165" t="n">
        <v>5</v>
      </c>
      <c r="J148" s="165" t="n">
        <v>5</v>
      </c>
      <c r="K148" s="166" t="n">
        <v>20333.48</v>
      </c>
      <c r="L148" s="166" t="n">
        <f aca="false">M148+N148</f>
        <v>6343.2</v>
      </c>
      <c r="M148" s="166"/>
      <c r="N148" s="156" t="n">
        <f aca="false">4581.2+1762</f>
        <v>6343.2</v>
      </c>
      <c r="O148" s="157" t="n">
        <v>10</v>
      </c>
      <c r="P148" s="155" t="n">
        <v>30218.3</v>
      </c>
      <c r="Q148" s="155" t="n">
        <f aca="false">R148+S148</f>
        <v>30817.38</v>
      </c>
      <c r="R148" s="155" t="n">
        <v>15329.4</v>
      </c>
      <c r="S148" s="156" t="n">
        <v>15487.98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20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16881.73</v>
      </c>
      <c r="M149" s="149" t="n">
        <v>1494.18</v>
      </c>
      <c r="N149" s="190" t="n">
        <v>15387.55</v>
      </c>
      <c r="O149" s="163" t="n">
        <v>13</v>
      </c>
      <c r="P149" s="161" t="n">
        <v>44245.85</v>
      </c>
      <c r="Q149" s="161" t="n">
        <f aca="false">R149+S149</f>
        <v>44245.85</v>
      </c>
      <c r="R149" s="161" t="n">
        <v>19724.71</v>
      </c>
      <c r="S149" s="190" t="n">
        <v>24521.14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196</v>
      </c>
      <c r="G150" s="164" t="s">
        <v>26</v>
      </c>
      <c r="H150" s="175" t="n">
        <v>2</v>
      </c>
      <c r="I150" s="165" t="n">
        <v>1</v>
      </c>
      <c r="J150" s="165" t="n">
        <v>0</v>
      </c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240" t="s">
        <v>282</v>
      </c>
      <c r="C151" s="19" t="s">
        <v>33</v>
      </c>
      <c r="D151" s="19" t="s">
        <v>283</v>
      </c>
      <c r="E151" s="19" t="s">
        <v>284</v>
      </c>
      <c r="F151" s="20"/>
      <c r="G151" s="146" t="s">
        <v>22</v>
      </c>
      <c r="H151" s="173"/>
      <c r="I151" s="148"/>
      <c r="J151" s="148"/>
      <c r="K151" s="241"/>
      <c r="L151" s="241" t="n">
        <f aca="false">M151+N151</f>
        <v>0</v>
      </c>
      <c r="M151" s="241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240"/>
      <c r="C152" s="19"/>
      <c r="D152" s="19"/>
      <c r="E152" s="19"/>
      <c r="F152" s="26" t="s">
        <v>285</v>
      </c>
      <c r="G152" s="152" t="s">
        <v>23</v>
      </c>
      <c r="H152" s="174" t="n">
        <v>2</v>
      </c>
      <c r="I152" s="154"/>
      <c r="J152" s="154"/>
      <c r="K152" s="242"/>
      <c r="L152" s="242" t="n">
        <f aca="false">M152+N152</f>
        <v>0</v>
      </c>
      <c r="M152" s="242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112</v>
      </c>
      <c r="C153" s="35" t="s">
        <v>20</v>
      </c>
      <c r="D153" s="35" t="s">
        <v>197</v>
      </c>
      <c r="E153" s="35" t="s">
        <v>25</v>
      </c>
      <c r="F153" s="36"/>
      <c r="G153" s="158" t="s">
        <v>22</v>
      </c>
      <c r="H153" s="159" t="n">
        <v>8</v>
      </c>
      <c r="I153" s="160" t="n">
        <v>6</v>
      </c>
      <c r="J153" s="160" t="n">
        <v>7</v>
      </c>
      <c r="K153" s="140" t="n">
        <v>23292.74</v>
      </c>
      <c r="L153" s="140" t="n">
        <f aca="false">M153+N153</f>
        <v>9984.81</v>
      </c>
      <c r="M153" s="140" t="n">
        <v>9984.81</v>
      </c>
      <c r="N153" s="190"/>
      <c r="O153" s="163" t="n">
        <v>4</v>
      </c>
      <c r="P153" s="161" t="n">
        <v>20244.62</v>
      </c>
      <c r="Q153" s="161" t="n">
        <f aca="false">R153+S153</f>
        <v>1198.16</v>
      </c>
      <c r="R153" s="161" t="n">
        <v>1198.16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26" t="s">
        <v>198</v>
      </c>
      <c r="G154" s="152" t="s">
        <v>26</v>
      </c>
      <c r="H154" s="171" t="n">
        <v>2</v>
      </c>
      <c r="I154" s="165"/>
      <c r="J154" s="165"/>
      <c r="K154" s="166"/>
      <c r="L154" s="166" t="n">
        <f aca="false">M154+N154</f>
        <v>0</v>
      </c>
      <c r="M154" s="166"/>
      <c r="N154" s="156"/>
      <c r="O154" s="168" t="n">
        <v>1</v>
      </c>
      <c r="P154" s="166" t="n">
        <v>2114.4</v>
      </c>
      <c r="Q154" s="166" t="n">
        <f aca="false">R154+S154</f>
        <v>2114.4</v>
      </c>
      <c r="R154" s="166"/>
      <c r="S154" s="156" t="n">
        <v>2114.4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113</v>
      </c>
      <c r="C155" s="19" t="s">
        <v>20</v>
      </c>
      <c r="D155" s="19"/>
      <c r="E155" s="19" t="s">
        <v>31</v>
      </c>
      <c r="F155" s="36"/>
      <c r="G155" s="146" t="s">
        <v>22</v>
      </c>
      <c r="H155" s="159" t="n">
        <v>9</v>
      </c>
      <c r="I155" s="148" t="n">
        <v>6</v>
      </c>
      <c r="J155" s="148" t="n">
        <v>7</v>
      </c>
      <c r="K155" s="149" t="n">
        <v>13847.41</v>
      </c>
      <c r="L155" s="149" t="n">
        <f aca="false">M155+N155</f>
        <v>7903.02</v>
      </c>
      <c r="M155" s="149" t="n">
        <v>4858.85</v>
      </c>
      <c r="N155" s="190" t="n">
        <v>3044.17</v>
      </c>
      <c r="O155" s="151" t="n">
        <v>6</v>
      </c>
      <c r="P155" s="149" t="n">
        <v>12527.12</v>
      </c>
      <c r="Q155" s="149" t="n">
        <f aca="false">R155+S155</f>
        <v>3839.24</v>
      </c>
      <c r="R155" s="149" t="n">
        <v>3839.24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152" t="s">
        <v>26</v>
      </c>
      <c r="H156" s="153"/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114</v>
      </c>
      <c r="C157" s="35" t="s">
        <v>20</v>
      </c>
      <c r="D157" s="95"/>
      <c r="E157" s="35" t="s">
        <v>25</v>
      </c>
      <c r="F157" s="71"/>
      <c r="G157" s="146" t="s">
        <v>22</v>
      </c>
      <c r="H157" s="169" t="n">
        <v>1</v>
      </c>
      <c r="I157" s="160"/>
      <c r="J157" s="160"/>
      <c r="K157" s="161"/>
      <c r="L157" s="161" t="n">
        <f aca="false">M157+N157</f>
        <v>0</v>
      </c>
      <c r="M157" s="161"/>
      <c r="N157" s="190"/>
      <c r="O157" s="163" t="n">
        <v>3</v>
      </c>
      <c r="P157" s="161" t="n">
        <v>4574.09</v>
      </c>
      <c r="Q157" s="161" t="n">
        <f aca="false">R157+S157</f>
        <v>0</v>
      </c>
      <c r="R157" s="161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274</v>
      </c>
      <c r="G158" s="164" t="s">
        <v>26</v>
      </c>
      <c r="H158" s="175" t="n">
        <v>3</v>
      </c>
      <c r="I158" s="165" t="n">
        <v>1</v>
      </c>
      <c r="J158" s="165" t="n">
        <v>1</v>
      </c>
      <c r="K158" s="166" t="n">
        <v>2947.54</v>
      </c>
      <c r="L158" s="166" t="n">
        <f aca="false">M158+N158</f>
        <v>0</v>
      </c>
      <c r="M158" s="166"/>
      <c r="N158" s="156"/>
      <c r="O158" s="168"/>
      <c r="P158" s="166"/>
      <c r="Q158" s="166" t="n">
        <f aca="false">R158+S158</f>
        <v>0</v>
      </c>
      <c r="R158" s="166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243</v>
      </c>
      <c r="C159" s="219"/>
      <c r="D159" s="19"/>
      <c r="E159" s="19"/>
      <c r="F159" s="20"/>
      <c r="G159" s="146" t="s">
        <v>22</v>
      </c>
      <c r="H159" s="173" t="n">
        <v>2</v>
      </c>
      <c r="I159" s="148"/>
      <c r="J159" s="148"/>
      <c r="K159" s="149"/>
      <c r="L159" s="149" t="n">
        <f aca="false">M159+N159</f>
        <v>0</v>
      </c>
      <c r="M159" s="149"/>
      <c r="N159" s="190"/>
      <c r="O159" s="206"/>
      <c r="P159" s="149"/>
      <c r="Q159" s="149" t="n">
        <f aca="false">R159+S159</f>
        <v>0</v>
      </c>
      <c r="R159" s="149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26" t="s">
        <v>275</v>
      </c>
      <c r="G160" s="152" t="s">
        <v>26</v>
      </c>
      <c r="H160" s="174" t="n">
        <v>4</v>
      </c>
      <c r="I160" s="154" t="n">
        <v>1</v>
      </c>
      <c r="J160" s="154" t="n">
        <v>1</v>
      </c>
      <c r="K160" s="155" t="n">
        <v>528.6</v>
      </c>
      <c r="L160" s="155" t="n">
        <f aca="false">M160+N160</f>
        <v>3476.14</v>
      </c>
      <c r="M160" s="155"/>
      <c r="N160" s="156" t="n">
        <v>3476.14</v>
      </c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200</v>
      </c>
      <c r="C161" s="220"/>
      <c r="D161" s="56"/>
      <c r="E161" s="56"/>
      <c r="F161" s="36"/>
      <c r="G161" s="158" t="s">
        <v>22</v>
      </c>
      <c r="H161" s="159" t="n">
        <v>21</v>
      </c>
      <c r="I161" s="160" t="n">
        <v>17</v>
      </c>
      <c r="J161" s="160" t="n">
        <v>17</v>
      </c>
      <c r="K161" s="161" t="n">
        <v>14018.13</v>
      </c>
      <c r="L161" s="161" t="n">
        <f aca="false">M161+N161</f>
        <v>4517.24</v>
      </c>
      <c r="M161" s="161" t="n">
        <v>4517.24</v>
      </c>
      <c r="N161" s="190"/>
      <c r="O161" s="163"/>
      <c r="P161" s="161"/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57"/>
      <c r="G162" s="152" t="s">
        <v>26</v>
      </c>
      <c r="H162" s="174" t="n">
        <v>4</v>
      </c>
      <c r="I162" s="154" t="n">
        <v>3</v>
      </c>
      <c r="J162" s="154" t="n">
        <v>3</v>
      </c>
      <c r="K162" s="155" t="n">
        <v>4757.4</v>
      </c>
      <c r="L162" s="155" t="n">
        <f aca="false">M162+N162</f>
        <v>4757.4</v>
      </c>
      <c r="M162" s="155"/>
      <c r="N162" s="156" t="n">
        <v>4757.4</v>
      </c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115</v>
      </c>
      <c r="C163" s="56" t="s">
        <v>20</v>
      </c>
      <c r="D163" s="56"/>
      <c r="E163" s="56" t="s">
        <v>116</v>
      </c>
      <c r="F163" s="36"/>
      <c r="G163" s="158" t="s">
        <v>22</v>
      </c>
      <c r="H163" s="159" t="n">
        <v>13</v>
      </c>
      <c r="I163" s="160" t="n">
        <v>7</v>
      </c>
      <c r="J163" s="160" t="n">
        <v>8</v>
      </c>
      <c r="K163" s="161" t="n">
        <v>6070.98</v>
      </c>
      <c r="L163" s="161" t="n">
        <f aca="false">M163+N163</f>
        <v>6070.98</v>
      </c>
      <c r="M163" s="161" t="n">
        <v>2886.16</v>
      </c>
      <c r="N163" s="190" t="n">
        <v>3184.82</v>
      </c>
      <c r="O163" s="163" t="n">
        <v>16</v>
      </c>
      <c r="P163" s="161" t="n">
        <v>38035.34</v>
      </c>
      <c r="Q163" s="161" t="n">
        <f aca="false">R163+S163</f>
        <v>22208.41</v>
      </c>
      <c r="R163" s="161" t="n">
        <v>6775.76</v>
      </c>
      <c r="S163" s="190" t="n">
        <v>15432.65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42" t="s">
        <v>201</v>
      </c>
      <c r="G164" s="164" t="s">
        <v>26</v>
      </c>
      <c r="H164" s="172" t="n">
        <v>8</v>
      </c>
      <c r="I164" s="165" t="n">
        <v>2</v>
      </c>
      <c r="J164" s="165" t="n">
        <v>2</v>
      </c>
      <c r="K164" s="166" t="n">
        <v>5990.8</v>
      </c>
      <c r="L164" s="161" t="n">
        <f aca="false">M164+N164</f>
        <v>1585.8</v>
      </c>
      <c r="M164" s="166"/>
      <c r="N164" s="156" t="n">
        <v>1585.8</v>
      </c>
      <c r="O164" s="168" t="n">
        <v>8</v>
      </c>
      <c r="P164" s="166" t="n">
        <v>881</v>
      </c>
      <c r="Q164" s="166" t="n">
        <f aca="false">R164+S164</f>
        <v>6167</v>
      </c>
      <c r="R164" s="166" t="n">
        <f aca="false">881</f>
        <v>881</v>
      </c>
      <c r="S164" s="156" t="n">
        <v>5286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157</v>
      </c>
      <c r="C165" s="19"/>
      <c r="D165" s="19"/>
      <c r="E165" s="127"/>
      <c r="F165" s="22"/>
      <c r="G165" s="146" t="s">
        <v>22</v>
      </c>
      <c r="H165" s="147" t="n">
        <v>8</v>
      </c>
      <c r="I165" s="148" t="n">
        <v>1</v>
      </c>
      <c r="J165" s="148" t="n">
        <v>1</v>
      </c>
      <c r="K165" s="149" t="n">
        <v>3876.4</v>
      </c>
      <c r="L165" s="149" t="n">
        <f aca="false">M165+N165</f>
        <v>3876.4</v>
      </c>
      <c r="M165" s="149"/>
      <c r="N165" s="190" t="n">
        <v>3876.4</v>
      </c>
      <c r="O165" s="151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17"/>
      <c r="B166" s="18"/>
      <c r="C166" s="18"/>
      <c r="D166" s="18"/>
      <c r="E166" s="127"/>
      <c r="F166" s="26" t="s">
        <v>202</v>
      </c>
      <c r="G166" s="152" t="s">
        <v>26</v>
      </c>
      <c r="H166" s="176" t="n">
        <v>1</v>
      </c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1762</v>
      </c>
      <c r="R166" s="155"/>
      <c r="S166" s="156" t="n">
        <v>1762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117</v>
      </c>
      <c r="C167" s="35" t="s">
        <v>33</v>
      </c>
      <c r="D167" s="35" t="s">
        <v>118</v>
      </c>
      <c r="E167" s="74" t="s">
        <v>25</v>
      </c>
      <c r="F167" s="89"/>
      <c r="G167" s="158" t="s">
        <v>22</v>
      </c>
      <c r="H167" s="169"/>
      <c r="I167" s="160"/>
      <c r="J167" s="160"/>
      <c r="K167" s="161"/>
      <c r="L167" s="161" t="n">
        <f aca="false">M167+N167</f>
        <v>0</v>
      </c>
      <c r="M167" s="161"/>
      <c r="N167" s="190"/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33"/>
      <c r="B168" s="34"/>
      <c r="C168" s="34"/>
      <c r="D168" s="34"/>
      <c r="E168" s="34"/>
      <c r="F168" s="42"/>
      <c r="G168" s="158" t="s">
        <v>23</v>
      </c>
      <c r="H168" s="169"/>
      <c r="I168" s="160"/>
      <c r="J168" s="160"/>
      <c r="K168" s="161"/>
      <c r="L168" s="161" t="n">
        <f aca="false">M168+N168</f>
        <v>0</v>
      </c>
      <c r="M168" s="161"/>
      <c r="N168" s="167"/>
      <c r="O168" s="163"/>
      <c r="P168" s="161"/>
      <c r="Q168" s="161" t="n">
        <f aca="false">R168+S168</f>
        <v>0</v>
      </c>
      <c r="R168" s="161"/>
      <c r="S168" s="167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33"/>
      <c r="B169" s="34"/>
      <c r="C169" s="34"/>
      <c r="D169" s="34"/>
      <c r="E169" s="34"/>
      <c r="F169" s="42"/>
      <c r="G169" s="164" t="s">
        <v>26</v>
      </c>
      <c r="H169" s="153"/>
      <c r="I169" s="165"/>
      <c r="J169" s="165"/>
      <c r="K169" s="166"/>
      <c r="L169" s="166" t="n">
        <f aca="false">M169+N169</f>
        <v>0</v>
      </c>
      <c r="M169" s="166"/>
      <c r="N169" s="156"/>
      <c r="O169" s="168" t="n">
        <v>5</v>
      </c>
      <c r="P169" s="166" t="n">
        <v>4845.5</v>
      </c>
      <c r="Q169" s="166" t="n">
        <f aca="false">R169+S169</f>
        <v>1762</v>
      </c>
      <c r="R169" s="166" t="n">
        <v>1762</v>
      </c>
      <c r="S169" s="156" t="n">
        <v>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119</v>
      </c>
      <c r="C170" s="19" t="s">
        <v>20</v>
      </c>
      <c r="D170" s="19"/>
      <c r="E170" s="19" t="s">
        <v>25</v>
      </c>
      <c r="F170" s="20"/>
      <c r="G170" s="146" t="s">
        <v>22</v>
      </c>
      <c r="H170" s="169"/>
      <c r="I170" s="148"/>
      <c r="J170" s="148"/>
      <c r="K170" s="149"/>
      <c r="L170" s="149" t="n">
        <f aca="false">M170+N170</f>
        <v>0</v>
      </c>
      <c r="M170" s="149"/>
      <c r="N170" s="190"/>
      <c r="O170" s="151" t="n">
        <v>2</v>
      </c>
      <c r="P170" s="149" t="n">
        <v>2643</v>
      </c>
      <c r="Q170" s="149" t="n">
        <f aca="false">R170+S170</f>
        <v>2643</v>
      </c>
      <c r="R170" s="149" t="n">
        <v>2643</v>
      </c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42" t="s">
        <v>203</v>
      </c>
      <c r="G171" s="164" t="s">
        <v>26</v>
      </c>
      <c r="H171" s="175" t="n">
        <v>4</v>
      </c>
      <c r="I171" s="165" t="n">
        <v>2</v>
      </c>
      <c r="J171" s="165" t="n">
        <v>2</v>
      </c>
      <c r="K171" s="166" t="n">
        <v>1233.4</v>
      </c>
      <c r="L171" s="166" t="n">
        <f aca="false">M171+N171</f>
        <v>704.8</v>
      </c>
      <c r="M171" s="166" t="n">
        <v>0</v>
      </c>
      <c r="N171" s="156" t="n">
        <v>704.8</v>
      </c>
      <c r="O171" s="168" t="n">
        <v>2</v>
      </c>
      <c r="P171" s="166" t="n">
        <v>7576.6</v>
      </c>
      <c r="Q171" s="166" t="n">
        <f aca="false">R171+S171</f>
        <v>7400.4</v>
      </c>
      <c r="R171" s="166" t="n">
        <f aca="false">881</f>
        <v>881</v>
      </c>
      <c r="S171" s="156" t="n">
        <f aca="false">2466.8+4052.6</f>
        <v>6519.4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225</v>
      </c>
      <c r="C172" s="19"/>
      <c r="D172" s="19"/>
      <c r="E172" s="19"/>
      <c r="F172" s="20"/>
      <c r="G172" s="146" t="s">
        <v>22</v>
      </c>
      <c r="H172" s="147"/>
      <c r="I172" s="148"/>
      <c r="J172" s="148"/>
      <c r="K172" s="149"/>
      <c r="L172" s="149" t="n">
        <f aca="false">M172+N172</f>
        <v>0</v>
      </c>
      <c r="M172" s="149"/>
      <c r="N172" s="190"/>
      <c r="O172" s="151"/>
      <c r="P172" s="149"/>
      <c r="Q172" s="149" t="n">
        <f aca="false">R172+S172</f>
        <v>0</v>
      </c>
      <c r="R172" s="149"/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17"/>
      <c r="B173" s="18"/>
      <c r="C173" s="18"/>
      <c r="D173" s="18"/>
      <c r="E173" s="18"/>
      <c r="F173" s="26" t="s">
        <v>244</v>
      </c>
      <c r="G173" s="152" t="s">
        <v>23</v>
      </c>
      <c r="H173" s="176" t="n">
        <v>15</v>
      </c>
      <c r="I173" s="154" t="n">
        <v>3</v>
      </c>
      <c r="J173" s="154" t="n">
        <v>3</v>
      </c>
      <c r="K173" s="155" t="n">
        <v>2863</v>
      </c>
      <c r="L173" s="155" t="n">
        <f aca="false">M173+N173</f>
        <v>0</v>
      </c>
      <c r="M173" s="155"/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54"/>
      <c r="B174" s="55" t="s">
        <v>120</v>
      </c>
      <c r="C174" s="56" t="s">
        <v>20</v>
      </c>
      <c r="D174" s="56"/>
      <c r="E174" s="56" t="s">
        <v>25</v>
      </c>
      <c r="F174" s="36"/>
      <c r="G174" s="158" t="s">
        <v>22</v>
      </c>
      <c r="H174" s="169"/>
      <c r="I174" s="160"/>
      <c r="J174" s="160"/>
      <c r="K174" s="161"/>
      <c r="L174" s="161" t="n">
        <f aca="false">M174+N174</f>
        <v>0</v>
      </c>
      <c r="M174" s="161"/>
      <c r="N174" s="190"/>
      <c r="O174" s="163" t="n">
        <v>3</v>
      </c>
      <c r="P174" s="161" t="n">
        <v>3063.78</v>
      </c>
      <c r="Q174" s="161" t="n">
        <f aca="false">R174+S174</f>
        <v>3063.78</v>
      </c>
      <c r="R174" s="161" t="n">
        <v>3063.78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/>
      <c r="C175" s="55"/>
      <c r="D175" s="55"/>
      <c r="E175" s="55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56"/>
      <c r="O175" s="168"/>
      <c r="P175" s="166"/>
      <c r="Q175" s="166" t="n">
        <f aca="false">R175+S175</f>
        <v>0</v>
      </c>
      <c r="R175" s="166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72"/>
      <c r="B176" s="18" t="s">
        <v>158</v>
      </c>
      <c r="C176" s="74"/>
      <c r="D176" s="56" t="s">
        <v>204</v>
      </c>
      <c r="E176" s="74"/>
      <c r="F176" s="53"/>
      <c r="G176" s="146" t="s">
        <v>22</v>
      </c>
      <c r="H176" s="195"/>
      <c r="I176" s="196"/>
      <c r="J176" s="196"/>
      <c r="K176" s="197"/>
      <c r="L176" s="197" t="n">
        <f aca="false">M176+N176</f>
        <v>0</v>
      </c>
      <c r="M176" s="197"/>
      <c r="N176" s="190"/>
      <c r="O176" s="199"/>
      <c r="P176" s="197"/>
      <c r="Q176" s="197" t="n">
        <f aca="false">R176+S176</f>
        <v>0</v>
      </c>
      <c r="R176" s="197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54"/>
      <c r="B177" s="18"/>
      <c r="C177" s="56"/>
      <c r="D177" s="56"/>
      <c r="E177" s="56"/>
      <c r="F177" s="138" t="s">
        <v>205</v>
      </c>
      <c r="G177" s="152" t="s">
        <v>26</v>
      </c>
      <c r="H177" s="153" t="n">
        <v>3</v>
      </c>
      <c r="I177" s="200" t="n">
        <v>2</v>
      </c>
      <c r="J177" s="200" t="n">
        <v>2</v>
      </c>
      <c r="K177" s="201" t="n">
        <v>3524</v>
      </c>
      <c r="L177" s="201" t="n">
        <f aca="false">M177+N177</f>
        <v>0</v>
      </c>
      <c r="M177" s="201"/>
      <c r="N177" s="156"/>
      <c r="O177" s="203"/>
      <c r="P177" s="201"/>
      <c r="Q177" s="201" t="n">
        <f aca="false">R177+S177</f>
        <v>0</v>
      </c>
      <c r="R177" s="201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33"/>
      <c r="B178" s="34" t="s">
        <v>152</v>
      </c>
      <c r="C178" s="35" t="s">
        <v>20</v>
      </c>
      <c r="D178" s="35"/>
      <c r="E178" s="35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4</v>
      </c>
      <c r="P178" s="161" t="n">
        <v>7400.4</v>
      </c>
      <c r="Q178" s="161" t="n">
        <f aca="false">R178+S178</f>
        <v>7400.4</v>
      </c>
      <c r="R178" s="161" t="n">
        <v>2819.2</v>
      </c>
      <c r="S178" s="190" t="n">
        <v>4581.2</v>
      </c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206</v>
      </c>
      <c r="G179" s="164" t="s">
        <v>26</v>
      </c>
      <c r="H179" s="171" t="n">
        <v>4</v>
      </c>
      <c r="I179" s="165"/>
      <c r="J179" s="165"/>
      <c r="K179" s="166"/>
      <c r="L179" s="166" t="n">
        <v>0</v>
      </c>
      <c r="M179" s="166" t="n">
        <v>0</v>
      </c>
      <c r="N179" s="156"/>
      <c r="O179" s="168" t="n">
        <v>4</v>
      </c>
      <c r="P179" s="166" t="n">
        <v>7048</v>
      </c>
      <c r="Q179" s="161" t="n">
        <f aca="false">R179+S179</f>
        <v>6959.9</v>
      </c>
      <c r="R179" s="166" t="n">
        <v>2731.1</v>
      </c>
      <c r="S179" s="156" t="n">
        <v>4228.8</v>
      </c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122</v>
      </c>
      <c r="C180" s="19" t="s">
        <v>20</v>
      </c>
      <c r="D180" s="19"/>
      <c r="E180" s="19" t="s">
        <v>116</v>
      </c>
      <c r="F180" s="20"/>
      <c r="G180" s="146" t="s">
        <v>22</v>
      </c>
      <c r="H180" s="159" t="n">
        <v>23</v>
      </c>
      <c r="I180" s="148" t="n">
        <v>20</v>
      </c>
      <c r="J180" s="148" t="n">
        <v>24</v>
      </c>
      <c r="K180" s="149" t="n">
        <v>33631.31</v>
      </c>
      <c r="L180" s="149" t="n">
        <f aca="false">M180+N180</f>
        <v>11563.14</v>
      </c>
      <c r="M180" s="149" t="n">
        <v>11563.14</v>
      </c>
      <c r="N180" s="190"/>
      <c r="O180" s="151" t="n">
        <v>25</v>
      </c>
      <c r="P180" s="149" t="n">
        <v>83681.13</v>
      </c>
      <c r="Q180" s="149" t="n">
        <f aca="false">R180+S180</f>
        <v>38935.35</v>
      </c>
      <c r="R180" s="149" t="n">
        <v>38935.35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57"/>
      <c r="G181" s="152" t="s">
        <v>26</v>
      </c>
      <c r="H181" s="153"/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123</v>
      </c>
      <c r="C182" s="35" t="s">
        <v>20</v>
      </c>
      <c r="D182" s="35"/>
      <c r="E182" s="35" t="s">
        <v>25</v>
      </c>
      <c r="F182" s="36"/>
      <c r="G182" s="146" t="s">
        <v>22</v>
      </c>
      <c r="H182" s="159" t="n">
        <v>3</v>
      </c>
      <c r="I182" s="160" t="n">
        <v>3</v>
      </c>
      <c r="J182" s="160" t="n">
        <v>3</v>
      </c>
      <c r="K182" s="161" t="n">
        <v>2255.36</v>
      </c>
      <c r="L182" s="161" t="n">
        <f aca="false">M182+N182</f>
        <v>2255.36</v>
      </c>
      <c r="M182" s="161" t="n">
        <v>881</v>
      </c>
      <c r="N182" s="190" t="n">
        <v>1374.36</v>
      </c>
      <c r="O182" s="163" t="n">
        <v>6</v>
      </c>
      <c r="P182" s="161" t="n">
        <v>10868.41</v>
      </c>
      <c r="Q182" s="161" t="n">
        <f aca="false">R182+S182</f>
        <v>10868.41</v>
      </c>
      <c r="R182" s="161" t="n">
        <v>10269.33</v>
      </c>
      <c r="S182" s="190" t="n">
        <v>599.08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207</v>
      </c>
      <c r="G183" s="164" t="s">
        <v>26</v>
      </c>
      <c r="H183" s="153" t="n">
        <v>2</v>
      </c>
      <c r="I183" s="165"/>
      <c r="J183" s="165"/>
      <c r="K183" s="166"/>
      <c r="L183" s="161" t="n">
        <f aca="false">M183+N183</f>
        <v>0</v>
      </c>
      <c r="M183" s="166" t="n">
        <v>0</v>
      </c>
      <c r="N183" s="156"/>
      <c r="O183" s="168" t="n">
        <v>1</v>
      </c>
      <c r="P183" s="166"/>
      <c r="Q183" s="166" t="n">
        <f aca="false">R183+S183</f>
        <v>881</v>
      </c>
      <c r="R183" s="166" t="n">
        <f aca="false">881</f>
        <v>881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124</v>
      </c>
      <c r="C184" s="19" t="s">
        <v>20</v>
      </c>
      <c r="D184" s="19"/>
      <c r="E184" s="19" t="s">
        <v>88</v>
      </c>
      <c r="F184" s="20"/>
      <c r="G184" s="146" t="s">
        <v>22</v>
      </c>
      <c r="H184" s="159" t="n">
        <v>9</v>
      </c>
      <c r="I184" s="148" t="n">
        <v>5</v>
      </c>
      <c r="J184" s="148" t="n">
        <v>5</v>
      </c>
      <c r="K184" s="149" t="n">
        <v>9703.52</v>
      </c>
      <c r="L184" s="149" t="n">
        <f aca="false">M184+N184</f>
        <v>3286.13</v>
      </c>
      <c r="M184" s="149"/>
      <c r="N184" s="190" t="n">
        <v>3286.13</v>
      </c>
      <c r="O184" s="151" t="n">
        <v>7</v>
      </c>
      <c r="P184" s="149" t="n">
        <v>19070.72</v>
      </c>
      <c r="Q184" s="149" t="n">
        <f aca="false">R184+S184</f>
        <v>16237.42</v>
      </c>
      <c r="R184" s="149" t="n">
        <v>14475.42</v>
      </c>
      <c r="S184" s="190" t="n">
        <v>1762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42" t="s">
        <v>245</v>
      </c>
      <c r="G185" s="164" t="s">
        <v>23</v>
      </c>
      <c r="H185" s="172" t="n">
        <v>7</v>
      </c>
      <c r="I185" s="165"/>
      <c r="J185" s="165"/>
      <c r="K185" s="166"/>
      <c r="L185" s="166" t="n">
        <v>0</v>
      </c>
      <c r="M185" s="166"/>
      <c r="N185" s="156"/>
      <c r="O185" s="168" t="n">
        <v>4</v>
      </c>
      <c r="P185" s="166" t="n">
        <v>8092.8</v>
      </c>
      <c r="Q185" s="166" t="n">
        <v>3976.4</v>
      </c>
      <c r="R185" s="166" t="n">
        <v>3976.4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208</v>
      </c>
      <c r="C186" s="19"/>
      <c r="D186" s="19"/>
      <c r="E186" s="127"/>
      <c r="F186" s="20"/>
      <c r="G186" s="146" t="s">
        <v>22</v>
      </c>
      <c r="H186" s="173" t="n">
        <v>20</v>
      </c>
      <c r="I186" s="148" t="n">
        <v>3</v>
      </c>
      <c r="J186" s="148" t="n">
        <v>3</v>
      </c>
      <c r="K186" s="149" t="n">
        <v>3728.39</v>
      </c>
      <c r="L186" s="149" t="n">
        <f aca="false">M186+N186</f>
        <v>2396.32</v>
      </c>
      <c r="M186" s="149"/>
      <c r="N186" s="190" t="n">
        <v>2396.32</v>
      </c>
      <c r="O186" s="151"/>
      <c r="P186" s="149"/>
      <c r="Q186" s="149" t="n">
        <f aca="false">R186+S186</f>
        <v>0</v>
      </c>
      <c r="R186" s="149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28"/>
      <c r="F187" s="26" t="s">
        <v>246</v>
      </c>
      <c r="G187" s="152" t="s">
        <v>23</v>
      </c>
      <c r="H187" s="174" t="n">
        <v>6</v>
      </c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125</v>
      </c>
      <c r="C188" s="35" t="s">
        <v>33</v>
      </c>
      <c r="D188" s="35" t="s">
        <v>126</v>
      </c>
      <c r="E188" s="35" t="s">
        <v>127</v>
      </c>
      <c r="F188" s="36"/>
      <c r="G188" s="158" t="s">
        <v>22</v>
      </c>
      <c r="H188" s="159" t="n">
        <v>9</v>
      </c>
      <c r="I188" s="160" t="n">
        <v>5</v>
      </c>
      <c r="J188" s="160" t="n">
        <v>6</v>
      </c>
      <c r="K188" s="161" t="n">
        <v>7126.5</v>
      </c>
      <c r="L188" s="161" t="n">
        <f aca="false">M188+N188</f>
        <v>6427.42</v>
      </c>
      <c r="M188" s="161" t="n">
        <v>2128.14</v>
      </c>
      <c r="N188" s="190" t="n">
        <v>4299.28</v>
      </c>
      <c r="O188" s="163" t="n">
        <v>13</v>
      </c>
      <c r="P188" s="161" t="n">
        <v>32035.95</v>
      </c>
      <c r="Q188" s="161" t="n">
        <f aca="false">R188+S188</f>
        <v>24224.96</v>
      </c>
      <c r="R188" s="161" t="n">
        <v>15275.34</v>
      </c>
      <c r="S188" s="190" t="n">
        <v>8949.62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164" t="s">
        <v>23</v>
      </c>
      <c r="H189" s="171" t="n">
        <v>31</v>
      </c>
      <c r="I189" s="165" t="n">
        <v>6</v>
      </c>
      <c r="J189" s="165" t="n">
        <v>6</v>
      </c>
      <c r="K189" s="166" t="n">
        <v>10924.4</v>
      </c>
      <c r="L189" s="166" t="n">
        <v>2995.4</v>
      </c>
      <c r="M189" s="166" t="n">
        <v>2995.4</v>
      </c>
      <c r="N189" s="156"/>
      <c r="O189" s="168" t="n">
        <v>14</v>
      </c>
      <c r="P189" s="166" t="n">
        <v>34485.64</v>
      </c>
      <c r="Q189" s="166" t="n">
        <v>4581.2</v>
      </c>
      <c r="R189" s="166" t="n">
        <v>4581.2</v>
      </c>
      <c r="S189" s="156" t="n">
        <v>6343.2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128</v>
      </c>
      <c r="C190" s="19" t="s">
        <v>20</v>
      </c>
      <c r="D190" s="19"/>
      <c r="E190" s="19" t="s">
        <v>25</v>
      </c>
      <c r="F190" s="20"/>
      <c r="G190" s="146" t="s">
        <v>22</v>
      </c>
      <c r="H190" s="159" t="n">
        <v>17</v>
      </c>
      <c r="I190" s="148" t="n">
        <v>10</v>
      </c>
      <c r="J190" s="148" t="n">
        <v>10</v>
      </c>
      <c r="K190" s="149" t="n">
        <v>10868.49</v>
      </c>
      <c r="L190" s="149" t="n">
        <f aca="false">M190+N190</f>
        <v>5465.9</v>
      </c>
      <c r="M190" s="149" t="n">
        <v>5465.9</v>
      </c>
      <c r="N190" s="190"/>
      <c r="O190" s="151" t="n">
        <v>24</v>
      </c>
      <c r="P190" s="149" t="n">
        <v>42740.26</v>
      </c>
      <c r="Q190" s="149" t="n">
        <f aca="false">R190+S190</f>
        <v>22150.76</v>
      </c>
      <c r="R190" s="149" t="n">
        <v>7845.45</v>
      </c>
      <c r="S190" s="190" t="n">
        <v>14305.31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71"/>
      <c r="G191" s="164" t="s">
        <v>26</v>
      </c>
      <c r="H191" s="175"/>
      <c r="I191" s="165"/>
      <c r="J191" s="165"/>
      <c r="K191" s="166"/>
      <c r="L191" s="166" t="n">
        <f aca="false">M191+N191</f>
        <v>0</v>
      </c>
      <c r="M191" s="166"/>
      <c r="N191" s="156"/>
      <c r="O191" s="168"/>
      <c r="P191" s="166"/>
      <c r="Q191" s="166" t="n">
        <f aca="false">R191+S191</f>
        <v>0</v>
      </c>
      <c r="R191" s="166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227</v>
      </c>
      <c r="C192" s="19"/>
      <c r="D192" s="19"/>
      <c r="E192" s="19"/>
      <c r="F192" s="20"/>
      <c r="G192" s="204" t="s">
        <v>22</v>
      </c>
      <c r="H192" s="173" t="n">
        <v>2</v>
      </c>
      <c r="I192" s="148" t="n">
        <v>1</v>
      </c>
      <c r="J192" s="148" t="n">
        <v>1</v>
      </c>
      <c r="K192" s="149" t="n">
        <v>621.99</v>
      </c>
      <c r="L192" s="149" t="n">
        <f aca="false">M192+N192</f>
        <v>0</v>
      </c>
      <c r="M192" s="149"/>
      <c r="N192" s="190"/>
      <c r="O192" s="206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207" t="s">
        <v>26</v>
      </c>
      <c r="H193" s="174"/>
      <c r="I193" s="154"/>
      <c r="J193" s="154"/>
      <c r="K193" s="155"/>
      <c r="L193" s="155" t="n">
        <f aca="false">M193+N193</f>
        <v>0</v>
      </c>
      <c r="M193" s="155"/>
      <c r="N193" s="156"/>
      <c r="O193" s="209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129</v>
      </c>
      <c r="C194" s="35" t="s">
        <v>38</v>
      </c>
      <c r="D194" s="35" t="s">
        <v>130</v>
      </c>
      <c r="E194" s="35" t="s">
        <v>25</v>
      </c>
      <c r="F194" s="36"/>
      <c r="G194" s="158" t="s">
        <v>22</v>
      </c>
      <c r="H194" s="159" t="n">
        <v>11</v>
      </c>
      <c r="I194" s="160" t="n">
        <v>8</v>
      </c>
      <c r="J194" s="160" t="n">
        <v>8</v>
      </c>
      <c r="K194" s="161" t="n">
        <v>7208.26</v>
      </c>
      <c r="L194" s="161" t="n">
        <f aca="false">M194+N194</f>
        <v>3147.73</v>
      </c>
      <c r="M194" s="161" t="n">
        <v>3147.73</v>
      </c>
      <c r="N194" s="190"/>
      <c r="O194" s="163" t="n">
        <v>3</v>
      </c>
      <c r="P194" s="161" t="n">
        <v>55205.85</v>
      </c>
      <c r="Q194" s="161" t="n">
        <f aca="false">R194+S194</f>
        <v>44463.45</v>
      </c>
      <c r="R194" s="161" t="n">
        <v>44463.45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209</v>
      </c>
      <c r="G195" s="164" t="s">
        <v>26</v>
      </c>
      <c r="H195" s="153" t="n">
        <v>3</v>
      </c>
      <c r="I195" s="165" t="n">
        <v>1</v>
      </c>
      <c r="J195" s="165" t="n">
        <v>1</v>
      </c>
      <c r="K195" s="166" t="n">
        <v>1762</v>
      </c>
      <c r="L195" s="161" t="n">
        <f aca="false">M195+N195</f>
        <v>0</v>
      </c>
      <c r="M195" s="166" t="n">
        <v>0</v>
      </c>
      <c r="N195" s="156"/>
      <c r="O195" s="168" t="n">
        <v>7</v>
      </c>
      <c r="P195" s="166" t="n">
        <v>20590.6</v>
      </c>
      <c r="Q195" s="166" t="n">
        <f aca="false">R195+S195</f>
        <v>16374.2</v>
      </c>
      <c r="R195" s="166" t="n">
        <f aca="false">881+881</f>
        <v>1762</v>
      </c>
      <c r="S195" s="167" t="n">
        <v>14612.2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17"/>
      <c r="B196" s="18" t="s">
        <v>131</v>
      </c>
      <c r="C196" s="19" t="s">
        <v>38</v>
      </c>
      <c r="D196" s="19" t="s">
        <v>130</v>
      </c>
      <c r="E196" s="19" t="s">
        <v>25</v>
      </c>
      <c r="F196" s="20"/>
      <c r="G196" s="146" t="s">
        <v>22</v>
      </c>
      <c r="H196" s="159" t="n">
        <v>8</v>
      </c>
      <c r="I196" s="148" t="n">
        <v>7</v>
      </c>
      <c r="J196" s="148" t="n">
        <v>11</v>
      </c>
      <c r="K196" s="149" t="n">
        <v>25996.1</v>
      </c>
      <c r="L196" s="149" t="n">
        <f aca="false">M196+N196</f>
        <v>25996.1</v>
      </c>
      <c r="M196" s="149" t="n">
        <v>13633.47</v>
      </c>
      <c r="N196" s="190" t="n">
        <v>12362.63</v>
      </c>
      <c r="O196" s="151" t="n">
        <v>14</v>
      </c>
      <c r="P196" s="149" t="n">
        <v>65810.62</v>
      </c>
      <c r="Q196" s="149" t="n">
        <f aca="false">R196+S196</f>
        <v>58274.05</v>
      </c>
      <c r="R196" s="149" t="n">
        <v>55278.65</v>
      </c>
      <c r="S196" s="198" t="n">
        <v>2995.4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17"/>
      <c r="B197" s="18"/>
      <c r="C197" s="18"/>
      <c r="D197" s="18"/>
      <c r="E197" s="18"/>
      <c r="F197" s="26" t="s">
        <v>210</v>
      </c>
      <c r="G197" s="152" t="s">
        <v>26</v>
      </c>
      <c r="H197" s="153" t="n">
        <v>2</v>
      </c>
      <c r="I197" s="154" t="n">
        <v>2</v>
      </c>
      <c r="J197" s="154" t="n">
        <v>2</v>
      </c>
      <c r="K197" s="155" t="n">
        <v>1585.8</v>
      </c>
      <c r="L197" s="155" t="n">
        <f aca="false">M197+N197</f>
        <v>1585.8</v>
      </c>
      <c r="M197" s="155"/>
      <c r="N197" s="156" t="n">
        <v>1585.8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33"/>
      <c r="B198" s="34" t="s">
        <v>132</v>
      </c>
      <c r="C198" s="35" t="s">
        <v>20</v>
      </c>
      <c r="D198" s="35"/>
      <c r="E198" s="35" t="s">
        <v>69</v>
      </c>
      <c r="F198" s="38"/>
      <c r="G198" s="146" t="s">
        <v>22</v>
      </c>
      <c r="H198" s="159" t="n">
        <v>8</v>
      </c>
      <c r="I198" s="160" t="n">
        <v>7</v>
      </c>
      <c r="J198" s="160" t="n">
        <v>11</v>
      </c>
      <c r="K198" s="161" t="n">
        <v>23368.97</v>
      </c>
      <c r="L198" s="161" t="n">
        <f aca="false">M198+N198</f>
        <v>14544.62</v>
      </c>
      <c r="M198" s="161" t="n">
        <v>1973.48</v>
      </c>
      <c r="N198" s="190" t="n">
        <v>12571.14</v>
      </c>
      <c r="O198" s="163" t="n">
        <v>11</v>
      </c>
      <c r="P198" s="161" t="n">
        <v>34976.18</v>
      </c>
      <c r="Q198" s="161" t="n">
        <f aca="false">R198+S198</f>
        <v>28827.93</v>
      </c>
      <c r="R198" s="161" t="n">
        <v>28827.93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33"/>
      <c r="B199" s="34"/>
      <c r="C199" s="34"/>
      <c r="D199" s="34"/>
      <c r="E199" s="34"/>
      <c r="F199" s="42" t="s">
        <v>211</v>
      </c>
      <c r="G199" s="164" t="s">
        <v>26</v>
      </c>
      <c r="H199" s="153" t="n">
        <v>7</v>
      </c>
      <c r="I199" s="165"/>
      <c r="J199" s="165"/>
      <c r="K199" s="166"/>
      <c r="L199" s="166" t="n">
        <f aca="false">M199+N199</f>
        <v>0</v>
      </c>
      <c r="M199" s="166"/>
      <c r="N199" s="156"/>
      <c r="O199" s="168" t="n">
        <v>1</v>
      </c>
      <c r="P199" s="166" t="n">
        <v>3700.2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133</v>
      </c>
      <c r="C200" s="74" t="s">
        <v>20</v>
      </c>
      <c r="D200" s="74"/>
      <c r="E200" s="74" t="s">
        <v>25</v>
      </c>
      <c r="F200" s="22"/>
      <c r="G200" s="146" t="s">
        <v>22</v>
      </c>
      <c r="H200" s="159" t="n">
        <v>4</v>
      </c>
      <c r="I200" s="148" t="n">
        <v>2</v>
      </c>
      <c r="J200" s="148" t="n">
        <v>2</v>
      </c>
      <c r="K200" s="149" t="n">
        <v>3312.63</v>
      </c>
      <c r="L200" s="149" t="n">
        <f aca="false">M200+N200</f>
        <v>2784.03</v>
      </c>
      <c r="M200" s="149"/>
      <c r="N200" s="190" t="n">
        <v>2784.03</v>
      </c>
      <c r="O200" s="151" t="n">
        <v>2</v>
      </c>
      <c r="P200" s="149" t="n">
        <v>4329.79</v>
      </c>
      <c r="Q200" s="149" t="n">
        <f aca="false">R200+S200</f>
        <v>4329.79</v>
      </c>
      <c r="R200" s="149" t="n">
        <v>2163.03</v>
      </c>
      <c r="S200" s="190" t="n">
        <v>2166.76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72"/>
      <c r="B201" s="73"/>
      <c r="C201" s="73"/>
      <c r="D201" s="73"/>
      <c r="E201" s="73"/>
      <c r="F201" s="42" t="s">
        <v>212</v>
      </c>
      <c r="G201" s="164" t="s">
        <v>26</v>
      </c>
      <c r="H201" s="171" t="n">
        <v>4</v>
      </c>
      <c r="I201" s="165" t="n">
        <v>1</v>
      </c>
      <c r="J201" s="165" t="n">
        <v>1</v>
      </c>
      <c r="K201" s="166" t="n">
        <v>1409.6</v>
      </c>
      <c r="L201" s="166" t="n">
        <f aca="false">M201+N201</f>
        <v>1409.6</v>
      </c>
      <c r="M201" s="166"/>
      <c r="N201" s="156" t="n">
        <v>1409.6</v>
      </c>
      <c r="O201" s="168" t="n">
        <v>2</v>
      </c>
      <c r="P201" s="166" t="n">
        <v>1321.5</v>
      </c>
      <c r="Q201" s="166" t="n">
        <f aca="false">R201+S201</f>
        <v>1321.5</v>
      </c>
      <c r="R201" s="166"/>
      <c r="S201" s="156" t="n">
        <v>1321.5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134</v>
      </c>
      <c r="C202" s="74" t="s">
        <v>20</v>
      </c>
      <c r="D202" s="74"/>
      <c r="E202" s="74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90"/>
      <c r="O202" s="151" t="n">
        <v>1</v>
      </c>
      <c r="P202" s="149" t="n">
        <v>13019.26</v>
      </c>
      <c r="Q202" s="149" t="n">
        <f aca="false">R202+S202</f>
        <v>13019.26</v>
      </c>
      <c r="R202" s="149" t="n">
        <v>13019.26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72"/>
      <c r="B203" s="73"/>
      <c r="C203" s="73"/>
      <c r="D203" s="73"/>
      <c r="E203" s="73"/>
      <c r="F203" s="42" t="s">
        <v>213</v>
      </c>
      <c r="G203" s="164" t="s">
        <v>26</v>
      </c>
      <c r="H203" s="153" t="n">
        <v>2</v>
      </c>
      <c r="I203" s="165"/>
      <c r="J203" s="165"/>
      <c r="K203" s="166"/>
      <c r="L203" s="166" t="n">
        <f aca="false">M203+N203</f>
        <v>0</v>
      </c>
      <c r="M203" s="166"/>
      <c r="N203" s="156"/>
      <c r="O203" s="168" t="n">
        <v>3</v>
      </c>
      <c r="P203" s="166" t="n">
        <v>23840.15</v>
      </c>
      <c r="Q203" s="166" t="n">
        <f aca="false">R203+S203</f>
        <v>19875.62</v>
      </c>
      <c r="R203" s="166"/>
      <c r="S203" s="156" t="n">
        <v>19875.62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17"/>
      <c r="B204" s="18" t="s">
        <v>135</v>
      </c>
      <c r="C204" s="19" t="s">
        <v>20</v>
      </c>
      <c r="D204" s="19"/>
      <c r="E204" s="19" t="s">
        <v>69</v>
      </c>
      <c r="F204" s="22"/>
      <c r="G204" s="146" t="s">
        <v>22</v>
      </c>
      <c r="H204" s="159" t="n">
        <v>9</v>
      </c>
      <c r="I204" s="148" t="n">
        <v>4</v>
      </c>
      <c r="J204" s="148" t="n">
        <v>4</v>
      </c>
      <c r="K204" s="149" t="n">
        <v>5030.51</v>
      </c>
      <c r="L204" s="149" t="n">
        <f aca="false">M204+N204</f>
        <v>4158.32</v>
      </c>
      <c r="M204" s="149" t="n">
        <v>2995.4</v>
      </c>
      <c r="N204" s="190" t="n">
        <v>1162.92</v>
      </c>
      <c r="O204" s="151" t="n">
        <v>12</v>
      </c>
      <c r="P204" s="149" t="n">
        <v>22594.45</v>
      </c>
      <c r="Q204" s="149" t="n">
        <f aca="false">R204+S204</f>
        <v>16446.2</v>
      </c>
      <c r="R204" s="149" t="n">
        <v>14331.8</v>
      </c>
      <c r="S204" s="190" t="n">
        <v>2114.4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277</v>
      </c>
      <c r="G205" s="152" t="s">
        <v>26</v>
      </c>
      <c r="H205" s="171" t="n">
        <v>6</v>
      </c>
      <c r="I205" s="154"/>
      <c r="J205" s="154"/>
      <c r="K205" s="155"/>
      <c r="L205" s="155" t="n">
        <f aca="false">M205+N205</f>
        <v>0</v>
      </c>
      <c r="M205" s="155"/>
      <c r="N205" s="156"/>
      <c r="O205" s="157" t="n">
        <v>2</v>
      </c>
      <c r="P205" s="155" t="n">
        <v>2292.9</v>
      </c>
      <c r="Q205" s="155" t="n">
        <f aca="false">R205+S205</f>
        <v>792.9</v>
      </c>
      <c r="R205" s="155"/>
      <c r="S205" s="156" t="n">
        <v>792.9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136</v>
      </c>
      <c r="C206" s="35" t="s">
        <v>20</v>
      </c>
      <c r="D206" s="35"/>
      <c r="E206" s="35" t="s">
        <v>98</v>
      </c>
      <c r="F206" s="36"/>
      <c r="G206" s="146" t="s">
        <v>22</v>
      </c>
      <c r="H206" s="159" t="n">
        <v>18</v>
      </c>
      <c r="I206" s="160" t="n">
        <v>9</v>
      </c>
      <c r="J206" s="160" t="n">
        <v>12</v>
      </c>
      <c r="K206" s="161" t="n">
        <v>20218.61</v>
      </c>
      <c r="L206" s="161" t="n">
        <f aca="false">M206+N206</f>
        <v>20218.61</v>
      </c>
      <c r="M206" s="161" t="n">
        <v>7070.9</v>
      </c>
      <c r="N206" s="190" t="n">
        <v>13147.71</v>
      </c>
      <c r="O206" s="163" t="n">
        <v>9</v>
      </c>
      <c r="P206" s="161" t="n">
        <v>14877.54</v>
      </c>
      <c r="Q206" s="161" t="n">
        <f aca="false">R206+S206</f>
        <v>14877.54</v>
      </c>
      <c r="R206" s="161" t="n">
        <v>11139.63</v>
      </c>
      <c r="S206" s="190" t="n">
        <v>3737.91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247</v>
      </c>
      <c r="G207" s="164" t="s">
        <v>23</v>
      </c>
      <c r="H207" s="171" t="n">
        <v>6</v>
      </c>
      <c r="I207" s="165" t="n">
        <v>6</v>
      </c>
      <c r="J207" s="165" t="n">
        <v>6</v>
      </c>
      <c r="K207" s="166" t="n">
        <v>4581.2</v>
      </c>
      <c r="L207" s="166" t="n">
        <f aca="false">M207+N207</f>
        <v>4052.6</v>
      </c>
      <c r="M207" s="166"/>
      <c r="N207" s="156" t="n">
        <v>4052.6</v>
      </c>
      <c r="O207" s="168" t="n">
        <v>6</v>
      </c>
      <c r="P207" s="166" t="n">
        <v>5638.4</v>
      </c>
      <c r="Q207" s="166" t="n">
        <v>1585.8</v>
      </c>
      <c r="R207" s="166" t="n">
        <v>1585.8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137</v>
      </c>
      <c r="C208" s="19" t="s">
        <v>20</v>
      </c>
      <c r="D208" s="19"/>
      <c r="E208" s="19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/>
      <c r="P208" s="149"/>
      <c r="Q208" s="149" t="n">
        <f aca="false">R208+S208</f>
        <v>0</v>
      </c>
      <c r="R208" s="149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20.25" hidden="false" customHeight="true" outlineLevel="0" collapsed="false">
      <c r="A209" s="17"/>
      <c r="B209" s="18"/>
      <c r="C209" s="18"/>
      <c r="D209" s="18"/>
      <c r="E209" s="18"/>
      <c r="F209" s="26" t="s">
        <v>286</v>
      </c>
      <c r="G209" s="152" t="s">
        <v>26</v>
      </c>
      <c r="H209" s="153" t="n">
        <v>8</v>
      </c>
      <c r="I209" s="154" t="n">
        <v>1</v>
      </c>
      <c r="J209" s="154" t="n">
        <v>1</v>
      </c>
      <c r="K209" s="155" t="n">
        <v>1938.2</v>
      </c>
      <c r="L209" s="155" t="n">
        <f aca="false">M209+N209</f>
        <v>0</v>
      </c>
      <c r="M209" s="155"/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138</v>
      </c>
      <c r="C210" s="56" t="s">
        <v>33</v>
      </c>
      <c r="D210" s="56" t="s">
        <v>139</v>
      </c>
      <c r="E210" s="56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90"/>
      <c r="O210" s="163"/>
      <c r="P210" s="161"/>
      <c r="Q210" s="161" t="n">
        <f aca="false">R210+S210</f>
        <v>0</v>
      </c>
      <c r="R210" s="161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214</v>
      </c>
      <c r="G211" s="152" t="s">
        <v>26</v>
      </c>
      <c r="H211" s="171" t="n">
        <v>5</v>
      </c>
      <c r="I211" s="154" t="n">
        <v>1</v>
      </c>
      <c r="J211" s="154" t="n">
        <v>1</v>
      </c>
      <c r="K211" s="155" t="n">
        <v>2466.8</v>
      </c>
      <c r="L211" s="155" t="n">
        <f aca="false">M211+N211</f>
        <v>2466.8</v>
      </c>
      <c r="M211" s="155"/>
      <c r="N211" s="156" t="n">
        <v>2466.8</v>
      </c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33"/>
      <c r="B212" s="34" t="s">
        <v>140</v>
      </c>
      <c r="C212" s="35" t="s">
        <v>20</v>
      </c>
      <c r="D212" s="35"/>
      <c r="E212" s="35" t="s">
        <v>141</v>
      </c>
      <c r="F212" s="36"/>
      <c r="G212" s="146" t="s">
        <v>22</v>
      </c>
      <c r="H212" s="159" t="n">
        <v>12</v>
      </c>
      <c r="I212" s="160" t="n">
        <v>3</v>
      </c>
      <c r="J212" s="160" t="n">
        <v>3</v>
      </c>
      <c r="K212" s="161" t="n">
        <v>3881.13</v>
      </c>
      <c r="L212" s="161" t="n">
        <f aca="false">M212+N212</f>
        <v>3881.13</v>
      </c>
      <c r="M212" s="161" t="n">
        <v>1046.63</v>
      </c>
      <c r="N212" s="190" t="n">
        <v>2834.5</v>
      </c>
      <c r="O212" s="163" t="n">
        <v>8</v>
      </c>
      <c r="P212" s="161" t="n">
        <v>21585.86</v>
      </c>
      <c r="Q212" s="161" t="n">
        <f aca="false">R212+S212</f>
        <v>21585.86</v>
      </c>
      <c r="R212" s="161" t="n">
        <v>8449.99</v>
      </c>
      <c r="S212" s="190" t="n">
        <v>13135.87</v>
      </c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215</v>
      </c>
      <c r="G213" s="164" t="s">
        <v>26</v>
      </c>
      <c r="H213" s="175" t="n">
        <v>1</v>
      </c>
      <c r="I213" s="165"/>
      <c r="J213" s="165"/>
      <c r="K213" s="166"/>
      <c r="L213" s="166" t="n">
        <f aca="false">M213+N213</f>
        <v>0</v>
      </c>
      <c r="M213" s="166"/>
      <c r="N213" s="156"/>
      <c r="O213" s="168"/>
      <c r="P213" s="166"/>
      <c r="Q213" s="166" t="n">
        <f aca="false">R213+S213</f>
        <v>0</v>
      </c>
      <c r="R213" s="166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251</v>
      </c>
      <c r="C214" s="19" t="s">
        <v>20</v>
      </c>
      <c r="D214" s="19"/>
      <c r="E214" s="19" t="s">
        <v>116</v>
      </c>
      <c r="F214" s="20"/>
      <c r="G214" s="146" t="s">
        <v>22</v>
      </c>
      <c r="H214" s="173" t="n">
        <v>4</v>
      </c>
      <c r="I214" s="148"/>
      <c r="J214" s="148"/>
      <c r="K214" s="149"/>
      <c r="L214" s="149"/>
      <c r="M214" s="149"/>
      <c r="N214" s="190"/>
      <c r="O214" s="206"/>
      <c r="P214" s="149"/>
      <c r="Q214" s="149"/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252</v>
      </c>
      <c r="G215" s="152" t="s">
        <v>26</v>
      </c>
      <c r="H215" s="174" t="n">
        <v>5</v>
      </c>
      <c r="I215" s="154"/>
      <c r="J215" s="154"/>
      <c r="K215" s="155"/>
      <c r="L215" s="155"/>
      <c r="M215" s="155"/>
      <c r="N215" s="156"/>
      <c r="O215" s="209"/>
      <c r="P215" s="155"/>
      <c r="Q215" s="155"/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142</v>
      </c>
      <c r="C216" s="56" t="s">
        <v>20</v>
      </c>
      <c r="D216" s="56"/>
      <c r="E216" s="56" t="s">
        <v>25</v>
      </c>
      <c r="F216" s="36"/>
      <c r="G216" s="158" t="s">
        <v>22</v>
      </c>
      <c r="H216" s="173" t="n">
        <v>4</v>
      </c>
      <c r="I216" s="148" t="n">
        <v>3</v>
      </c>
      <c r="J216" s="148" t="n">
        <v>3</v>
      </c>
      <c r="K216" s="149" t="n">
        <v>1656.28</v>
      </c>
      <c r="L216" s="149" t="n">
        <f aca="false">M216+N216</f>
        <v>1656.28</v>
      </c>
      <c r="M216" s="149" t="n">
        <v>1656.28</v>
      </c>
      <c r="N216" s="190"/>
      <c r="O216" s="228" t="n">
        <v>4</v>
      </c>
      <c r="P216" s="161" t="n">
        <v>5104.51</v>
      </c>
      <c r="Q216" s="161" t="n">
        <f aca="false">R216+S216</f>
        <v>3342.51</v>
      </c>
      <c r="R216" s="161" t="n">
        <v>3342.51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42" t="s">
        <v>216</v>
      </c>
      <c r="G217" s="164" t="s">
        <v>26</v>
      </c>
      <c r="H217" s="177" t="n">
        <v>6</v>
      </c>
      <c r="I217" s="165" t="n">
        <v>3</v>
      </c>
      <c r="J217" s="165" t="n">
        <v>3</v>
      </c>
      <c r="K217" s="166" t="n">
        <v>5990.8</v>
      </c>
      <c r="L217" s="166" t="n">
        <f aca="false">M217+N217</f>
        <v>9043.61</v>
      </c>
      <c r="M217" s="166" t="n">
        <f aca="false">3052.81</f>
        <v>3052.81</v>
      </c>
      <c r="N217" s="167" t="n">
        <v>5990.8</v>
      </c>
      <c r="O217" s="238" t="n">
        <v>7</v>
      </c>
      <c r="P217" s="166" t="n">
        <v>7343.2</v>
      </c>
      <c r="Q217" s="166" t="n">
        <f aca="false">R217+S217</f>
        <v>4876.19</v>
      </c>
      <c r="R217" s="166" t="n">
        <v>823.59</v>
      </c>
      <c r="S217" s="167" t="n">
        <v>4052.6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287</v>
      </c>
      <c r="C218" s="56" t="s">
        <v>20</v>
      </c>
      <c r="D218" s="19"/>
      <c r="E218" s="56" t="s">
        <v>25</v>
      </c>
      <c r="F218" s="20"/>
      <c r="G218" s="146" t="s">
        <v>22</v>
      </c>
      <c r="H218" s="147"/>
      <c r="I218" s="148"/>
      <c r="J218" s="148"/>
      <c r="K218" s="149"/>
      <c r="L218" s="149" t="n">
        <f aca="false">M218+N218</f>
        <v>0</v>
      </c>
      <c r="M218" s="149"/>
      <c r="N218" s="150"/>
      <c r="O218" s="206"/>
      <c r="P218" s="149"/>
      <c r="Q218" s="149" t="n">
        <f aca="false">R218+S218</f>
        <v>0</v>
      </c>
      <c r="R218" s="149"/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288</v>
      </c>
      <c r="G219" s="152" t="s">
        <v>26</v>
      </c>
      <c r="H219" s="176" t="n">
        <v>3</v>
      </c>
      <c r="I219" s="154"/>
      <c r="J219" s="154"/>
      <c r="K219" s="155"/>
      <c r="L219" s="155" t="n">
        <f aca="false">M219+N219</f>
        <v>0</v>
      </c>
      <c r="M219" s="155"/>
      <c r="N219" s="156"/>
      <c r="O219" s="209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143</v>
      </c>
      <c r="C220" s="35" t="s">
        <v>20</v>
      </c>
      <c r="D220" s="35"/>
      <c r="E220" s="35" t="s">
        <v>25</v>
      </c>
      <c r="F220" s="36"/>
      <c r="G220" s="158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 t="n">
        <v>1</v>
      </c>
      <c r="P220" s="161" t="n">
        <v>1515.67</v>
      </c>
      <c r="Q220" s="161" t="n">
        <f aca="false">R220+S220</f>
        <v>1515.67</v>
      </c>
      <c r="R220" s="161" t="n">
        <v>1515.67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217</v>
      </c>
      <c r="G221" s="164" t="s">
        <v>26</v>
      </c>
      <c r="H221" s="171" t="n">
        <v>6</v>
      </c>
      <c r="I221" s="165"/>
      <c r="J221" s="165"/>
      <c r="K221" s="166"/>
      <c r="L221" s="166" t="n">
        <f aca="false">M221+N221</f>
        <v>704.8</v>
      </c>
      <c r="M221" s="166"/>
      <c r="N221" s="156" t="n">
        <v>704.8</v>
      </c>
      <c r="O221" s="168" t="n">
        <v>6</v>
      </c>
      <c r="P221" s="166" t="n">
        <v>34775.2</v>
      </c>
      <c r="Q221" s="166" t="n">
        <f aca="false">R221+S221</f>
        <v>13743.6</v>
      </c>
      <c r="R221" s="166"/>
      <c r="S221" s="156" t="n">
        <v>13743.6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144</v>
      </c>
      <c r="C222" s="19" t="s">
        <v>20</v>
      </c>
      <c r="D222" s="19"/>
      <c r="E222" s="19" t="s">
        <v>81</v>
      </c>
      <c r="F222" s="20"/>
      <c r="G222" s="146" t="s">
        <v>22</v>
      </c>
      <c r="H222" s="159" t="n">
        <v>8</v>
      </c>
      <c r="I222" s="148" t="n">
        <v>4</v>
      </c>
      <c r="J222" s="148" t="n">
        <v>4</v>
      </c>
      <c r="K222" s="149" t="n">
        <v>2995.4</v>
      </c>
      <c r="L222" s="149" t="n">
        <f aca="false">M222+N222</f>
        <v>2096.78</v>
      </c>
      <c r="M222" s="149"/>
      <c r="N222" s="190" t="n">
        <v>2096.78</v>
      </c>
      <c r="O222" s="151" t="n">
        <v>4</v>
      </c>
      <c r="P222" s="149" t="n">
        <v>3636.77</v>
      </c>
      <c r="Q222" s="149" t="n">
        <f aca="false">R222+S222</f>
        <v>3636.77</v>
      </c>
      <c r="R222" s="149"/>
      <c r="S222" s="190" t="n">
        <v>3636.77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218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4052.6</v>
      </c>
      <c r="L223" s="155" t="n">
        <f aca="false">M223+N223</f>
        <v>4052.6</v>
      </c>
      <c r="M223" s="155"/>
      <c r="N223" s="156" t="n">
        <f aca="false">1762+2290.6</f>
        <v>4052.6</v>
      </c>
      <c r="O223" s="157" t="n">
        <v>2</v>
      </c>
      <c r="P223" s="155" t="n">
        <v>4493.1</v>
      </c>
      <c r="Q223" s="155" t="n">
        <f aca="false">R223+S223</f>
        <v>4493.1</v>
      </c>
      <c r="R223" s="155"/>
      <c r="S223" s="156" t="n">
        <v>4493.1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145</v>
      </c>
      <c r="C224" s="35" t="s">
        <v>20</v>
      </c>
      <c r="D224" s="35"/>
      <c r="E224" s="35" t="s">
        <v>98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71"/>
      <c r="G225" s="164" t="s">
        <v>23</v>
      </c>
      <c r="H225" s="175"/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146</v>
      </c>
      <c r="C226" s="19" t="s">
        <v>20</v>
      </c>
      <c r="D226" s="19"/>
      <c r="E226" s="19" t="s">
        <v>25</v>
      </c>
      <c r="F226" s="22"/>
      <c r="G226" s="146" t="s">
        <v>22</v>
      </c>
      <c r="H226" s="173" t="n">
        <v>7</v>
      </c>
      <c r="I226" s="148" t="n">
        <v>4</v>
      </c>
      <c r="J226" s="148" t="n">
        <v>4</v>
      </c>
      <c r="K226" s="149" t="n">
        <v>2819.2</v>
      </c>
      <c r="L226" s="149" t="n">
        <f aca="false">M226+N226</f>
        <v>2819.2</v>
      </c>
      <c r="M226" s="149" t="n">
        <v>352.4</v>
      </c>
      <c r="N226" s="190" t="n">
        <v>2466.8</v>
      </c>
      <c r="O226" s="206" t="n">
        <v>1</v>
      </c>
      <c r="P226" s="149" t="n">
        <v>1546.68</v>
      </c>
      <c r="Q226" s="149" t="n">
        <f aca="false">R226+S226</f>
        <v>1546.68</v>
      </c>
      <c r="R226" s="149" t="n">
        <v>1546.68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42" t="s">
        <v>219</v>
      </c>
      <c r="G227" s="164" t="s">
        <v>26</v>
      </c>
      <c r="H227" s="178"/>
      <c r="I227" s="165"/>
      <c r="J227" s="165"/>
      <c r="K227" s="166"/>
      <c r="L227" s="166" t="n">
        <f aca="false">M227+N227</f>
        <v>0</v>
      </c>
      <c r="M227" s="166" t="n">
        <v>0</v>
      </c>
      <c r="N227" s="167"/>
      <c r="O227" s="238" t="n">
        <v>1</v>
      </c>
      <c r="P227" s="166" t="n">
        <v>1585.8</v>
      </c>
      <c r="Q227" s="166" t="n">
        <f aca="false">R227+S227</f>
        <v>1585.8</v>
      </c>
      <c r="R227" s="166" t="n">
        <v>1585.8</v>
      </c>
      <c r="S227" s="167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289</v>
      </c>
      <c r="C228" s="19"/>
      <c r="D228" s="19"/>
      <c r="E228" s="19"/>
      <c r="F228" s="20"/>
      <c r="G228" s="146" t="s">
        <v>22</v>
      </c>
      <c r="H228" s="173" t="n">
        <v>1</v>
      </c>
      <c r="I228" s="148"/>
      <c r="J228" s="148"/>
      <c r="K228" s="149"/>
      <c r="L228" s="149" t="n">
        <f aca="false">M228+N228</f>
        <v>0</v>
      </c>
      <c r="M228" s="149"/>
      <c r="N228" s="224"/>
      <c r="O228" s="151"/>
      <c r="P228" s="149"/>
      <c r="Q228" s="149" t="n">
        <f aca="false">R228+S228</f>
        <v>0</v>
      </c>
      <c r="R228" s="149"/>
      <c r="S228" s="15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57"/>
      <c r="G229" s="152" t="s">
        <v>23</v>
      </c>
      <c r="H229" s="174" t="n">
        <v>1</v>
      </c>
      <c r="I229" s="154"/>
      <c r="J229" s="154"/>
      <c r="K229" s="155"/>
      <c r="L229" s="155" t="n">
        <f aca="false">M229+N229</f>
        <v>0</v>
      </c>
      <c r="M229" s="155"/>
      <c r="N229" s="226"/>
      <c r="O229" s="157"/>
      <c r="P229" s="155"/>
      <c r="Q229" s="155" t="n">
        <f aca="false">R229+S229</f>
        <v>0</v>
      </c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147</v>
      </c>
      <c r="C230" s="56" t="s">
        <v>20</v>
      </c>
      <c r="D230" s="56"/>
      <c r="E230" s="56" t="s">
        <v>25</v>
      </c>
      <c r="F230" s="97"/>
      <c r="G230" s="158" t="s">
        <v>22</v>
      </c>
      <c r="H230" s="159" t="n">
        <v>3</v>
      </c>
      <c r="I230" s="160" t="n">
        <v>3</v>
      </c>
      <c r="J230" s="160" t="n">
        <v>3</v>
      </c>
      <c r="K230" s="161" t="n">
        <v>2093.26</v>
      </c>
      <c r="L230" s="161" t="n">
        <f aca="false">M230+N230</f>
        <v>2093.26</v>
      </c>
      <c r="M230" s="161"/>
      <c r="N230" s="190" t="n">
        <v>2093.26</v>
      </c>
      <c r="O230" s="163" t="n">
        <v>4</v>
      </c>
      <c r="P230" s="161" t="n">
        <v>16436.74</v>
      </c>
      <c r="Q230" s="161" t="n">
        <f aca="false">R230+S230</f>
        <v>16436.74</v>
      </c>
      <c r="R230" s="161" t="n">
        <v>16436.74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26" t="s">
        <v>220</v>
      </c>
      <c r="G231" s="152" t="s">
        <v>26</v>
      </c>
      <c r="H231" s="171" t="n">
        <v>11</v>
      </c>
      <c r="I231" s="154" t="n">
        <v>1</v>
      </c>
      <c r="J231" s="154" t="n">
        <v>1</v>
      </c>
      <c r="K231" s="155" t="n">
        <v>6167</v>
      </c>
      <c r="L231" s="189" t="n">
        <f aca="false">M231+N231</f>
        <v>528.6</v>
      </c>
      <c r="M231" s="155" t="n">
        <v>0</v>
      </c>
      <c r="N231" s="167" t="n">
        <v>528.6</v>
      </c>
      <c r="O231" s="157" t="n">
        <v>5</v>
      </c>
      <c r="P231" s="155" t="n">
        <v>13038.8</v>
      </c>
      <c r="Q231" s="161" t="n">
        <f aca="false">R231+S231</f>
        <v>18677.2</v>
      </c>
      <c r="R231" s="155" t="n">
        <f aca="false">7048+528.6</f>
        <v>7576.6</v>
      </c>
      <c r="S231" s="156" t="n">
        <v>11100.6</v>
      </c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148</v>
      </c>
      <c r="C232" s="19" t="s">
        <v>20</v>
      </c>
      <c r="D232" s="19"/>
      <c r="E232" s="19" t="s">
        <v>21</v>
      </c>
      <c r="F232" s="22"/>
      <c r="G232" s="146" t="s">
        <v>22</v>
      </c>
      <c r="H232" s="173" t="n">
        <v>2</v>
      </c>
      <c r="I232" s="148" t="n">
        <v>1</v>
      </c>
      <c r="J232" s="148" t="n">
        <v>1</v>
      </c>
      <c r="K232" s="149" t="n">
        <v>436.1</v>
      </c>
      <c r="L232" s="149" t="n">
        <f aca="false">M232+N232</f>
        <v>436.1</v>
      </c>
      <c r="M232" s="149"/>
      <c r="N232" s="198" t="n">
        <v>436.1</v>
      </c>
      <c r="O232" s="151" t="n">
        <v>1</v>
      </c>
      <c r="P232" s="149" t="n">
        <v>13232.99</v>
      </c>
      <c r="Q232" s="149" t="n">
        <f aca="false">R232+S232</f>
        <v>13232.99</v>
      </c>
      <c r="R232" s="149"/>
      <c r="S232" s="190" t="n">
        <v>13232.99</v>
      </c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248</v>
      </c>
      <c r="G233" s="152" t="s">
        <v>23</v>
      </c>
      <c r="H233" s="171" t="n">
        <v>2</v>
      </c>
      <c r="I233" s="154"/>
      <c r="J233" s="154"/>
      <c r="K233" s="155"/>
      <c r="L233" s="155" t="n">
        <f aca="false">M233+N233</f>
        <v>0</v>
      </c>
      <c r="M233" s="155"/>
      <c r="N233" s="156"/>
      <c r="O233" s="157" t="n">
        <v>1</v>
      </c>
      <c r="P233" s="155" t="n">
        <v>572.65</v>
      </c>
      <c r="Q233" s="155" t="n">
        <v>572.65</v>
      </c>
      <c r="R233" s="155" t="n">
        <v>572.65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99"/>
      <c r="B234" s="100" t="s">
        <v>149</v>
      </c>
      <c r="C234" s="100"/>
      <c r="D234" s="100"/>
      <c r="E234" s="100"/>
      <c r="F234" s="100"/>
      <c r="G234" s="212"/>
      <c r="H234" s="213" t="n">
        <f aca="false">SUM(H9:H233)</f>
        <v>1276</v>
      </c>
      <c r="I234" s="214" t="n">
        <f aca="false">SUM(I9:I233)</f>
        <v>574</v>
      </c>
      <c r="J234" s="214" t="n">
        <f aca="false">SUM(J9:J233)</f>
        <v>633</v>
      </c>
      <c r="K234" s="215" t="n">
        <f aca="false">SUM(K9:K233)</f>
        <v>861652.61</v>
      </c>
      <c r="L234" s="215" t="n">
        <f aca="false">SUM(L9:L233)</f>
        <v>570278.69</v>
      </c>
      <c r="M234" s="215" t="n">
        <f aca="false">SUM(M9:M233)</f>
        <v>221160.28</v>
      </c>
      <c r="N234" s="243" t="n">
        <f aca="false">SUM(N9:N233)</f>
        <v>350917.56</v>
      </c>
      <c r="O234" s="244" t="n">
        <f aca="false">SUM(O9:O233)</f>
        <v>774</v>
      </c>
      <c r="P234" s="245" t="n">
        <f aca="false">SUM(P9:P233)</f>
        <v>2264263.45</v>
      </c>
      <c r="Q234" s="245" t="n">
        <f aca="false">SUM(Q9:Q233)</f>
        <v>1646718.05</v>
      </c>
      <c r="R234" s="245" t="n">
        <f aca="false">SUM(R9:R233)</f>
        <v>995788.67</v>
      </c>
      <c r="S234" s="246" t="n">
        <f aca="false">SUM(S9:S233)</f>
        <v>669958.98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 t="s">
        <v>290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2"/>
      <c r="B238" s="2"/>
      <c r="C238" s="2"/>
      <c r="D238" s="2"/>
      <c r="E238" s="2"/>
      <c r="F238" s="103"/>
      <c r="G238" s="104" t="s">
        <v>5</v>
      </c>
      <c r="H238" s="104"/>
      <c r="I238" s="104"/>
      <c r="J238" s="104"/>
      <c r="K238" s="104"/>
      <c r="L238" s="104"/>
      <c r="M238" s="104"/>
      <c r="N238" s="104" t="s">
        <v>6</v>
      </c>
      <c r="O238" s="104"/>
      <c r="P238" s="104"/>
      <c r="Q238" s="104"/>
      <c r="R238" s="104"/>
      <c r="S238" s="105" t="s">
        <v>150</v>
      </c>
      <c r="T238" s="105" t="s">
        <v>253</v>
      </c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103"/>
      <c r="G239" s="106" t="s">
        <v>13</v>
      </c>
      <c r="H239" s="106" t="s">
        <v>14</v>
      </c>
      <c r="I239" s="106" t="s">
        <v>15</v>
      </c>
      <c r="J239" s="106" t="s">
        <v>226</v>
      </c>
      <c r="K239" s="106" t="s">
        <v>16</v>
      </c>
      <c r="L239" s="106" t="s">
        <v>17</v>
      </c>
      <c r="M239" s="106" t="s">
        <v>18</v>
      </c>
      <c r="N239" s="106" t="s">
        <v>15</v>
      </c>
      <c r="O239" s="106" t="s">
        <v>226</v>
      </c>
      <c r="P239" s="106" t="s">
        <v>16</v>
      </c>
      <c r="Q239" s="106" t="s">
        <v>17</v>
      </c>
      <c r="R239" s="106" t="s">
        <v>18</v>
      </c>
      <c r="S239" s="105"/>
      <c r="T239" s="105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107" t="s">
        <v>22</v>
      </c>
      <c r="G240" s="108" t="n">
        <f aca="false">SUMIF($G$9:$G$233,$F$240,H9:H233)</f>
        <v>822</v>
      </c>
      <c r="H240" s="108" t="n">
        <f aca="false">SUMIF($G$9:$G$233,$F$240,I9:I233)</f>
        <v>449</v>
      </c>
      <c r="I240" s="108" t="n">
        <f aca="false">SUMIF($G$9:$G$233,$F$240,J9:J233)</f>
        <v>509</v>
      </c>
      <c r="J240" s="110" t="n">
        <f aca="false">SUMIF($G$9:$G$233,F240,$K$9:$K$233)</f>
        <v>662137.74</v>
      </c>
      <c r="K240" s="110" t="n">
        <f aca="false">SUMIF($G$9:$G$233,$F$240,L9:L233)</f>
        <v>490487.69</v>
      </c>
      <c r="L240" s="110" t="n">
        <f aca="false">SUMIF($G$9:$G$233,$F$240,M9:M233)</f>
        <v>208301.37</v>
      </c>
      <c r="M240" s="110" t="n">
        <f aca="false">SUMIF($G$9:$G$233,$F$240,N9:N233)</f>
        <v>282186.32</v>
      </c>
      <c r="N240" s="108" t="n">
        <f aca="false">SUMIF($G$9:$G$233,$F$240,O9:O233)</f>
        <v>536</v>
      </c>
      <c r="O240" s="110" t="n">
        <f aca="false">SUMIF($G$9:$G$233,F240,$P$9:$P$233)</f>
        <v>1634350.54</v>
      </c>
      <c r="P240" s="110" t="n">
        <f aca="false">SUMIF($G$9:$G$233,$F$240,Q9:Q233)</f>
        <v>1256482.13</v>
      </c>
      <c r="Q240" s="110" t="n">
        <f aca="false">SUMIF($G$9:$G$233,$F$240,R9:R233)</f>
        <v>868523.63</v>
      </c>
      <c r="R240" s="110" t="n">
        <f aca="false">SUMIF($G$9:$G$233,$F$240,S9:S233)</f>
        <v>387958.5</v>
      </c>
      <c r="S240" s="110" t="n">
        <f aca="false">Q240+L240</f>
        <v>1076825</v>
      </c>
      <c r="T240" s="111" t="n">
        <f aca="false">J240-L240+O240-Q240</f>
        <v>1219663.28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107" t="s">
        <v>26</v>
      </c>
      <c r="G241" s="108" t="n">
        <f aca="false">SUMIF($G$9:$G$233,$F$241,H9:H233)</f>
        <v>276</v>
      </c>
      <c r="H241" s="108" t="n">
        <v>20</v>
      </c>
      <c r="I241" s="108" t="n">
        <f aca="false">SUMIF($G$9:$G$233,$F$241,J9:J233)</f>
        <v>66</v>
      </c>
      <c r="J241" s="110" t="n">
        <f aca="false">SUMIF($G$9:$G$233,F241,$K$9:$K$233)</f>
        <v>128700.82</v>
      </c>
      <c r="K241" s="110" t="n">
        <f aca="false">SUMIF($G$9:$G$233,$F$241,L9:L233)</f>
        <v>68198.95</v>
      </c>
      <c r="L241" s="110" t="n">
        <f aca="false">SUMIF($G$9:$G$233,$F$241,M9:M233)</f>
        <v>5319.46</v>
      </c>
      <c r="M241" s="110" t="n">
        <f aca="false">SUMIF($G$9:$G$233,$F$241,N9:N233)</f>
        <v>62879.49</v>
      </c>
      <c r="N241" s="108" t="n">
        <f aca="false">SUMIF($G$9:$G$233,$F$241,O9:O233)</f>
        <v>161</v>
      </c>
      <c r="O241" s="110" t="n">
        <f aca="false">SUMIF($G$9:$G$233,F241,$P$9:$P$233)</f>
        <v>450001.6</v>
      </c>
      <c r="P241" s="110" t="n">
        <f aca="false">SUMIF($G$9:$G$233,$F$241,Q9:Q233)</f>
        <v>357775.37</v>
      </c>
      <c r="Q241" s="110" t="n">
        <f aca="false">SUMIF($G$9:$G$233,$F$241,R9:R233)</f>
        <v>94804.49</v>
      </c>
      <c r="R241" s="110" t="n">
        <f aca="false">SUMIF($G$9:$G$233,$F$241,S9:S233)</f>
        <v>262970.88</v>
      </c>
      <c r="S241" s="110" t="n">
        <f aca="false">Q241+L241</f>
        <v>100123.95</v>
      </c>
      <c r="T241" s="111" t="n">
        <f aca="false">J241-L241+O241-Q241</f>
        <v>478578.47</v>
      </c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107" t="s">
        <v>23</v>
      </c>
      <c r="G242" s="108" t="n">
        <f aca="false">SUMIF($G$9:$G$233,$F$242,H9:H233)</f>
        <v>178</v>
      </c>
      <c r="H242" s="108" t="n">
        <f aca="false">SUMIF($G$9:$G$233,$F$242,I9:I233)</f>
        <v>58</v>
      </c>
      <c r="I242" s="108" t="n">
        <f aca="false">SUMIF($G$9:$G$233,$F$242,J9:J233)</f>
        <v>58</v>
      </c>
      <c r="J242" s="110" t="n">
        <f aca="false">SUMIF($G$9:$G$233,F242,$K$9:$K$233)</f>
        <v>70814.05</v>
      </c>
      <c r="K242" s="110" t="n">
        <f aca="false">SUMIF($G$9:$G$233,$F$242,L9:L233)</f>
        <v>11592.05</v>
      </c>
      <c r="L242" s="110" t="n">
        <f aca="false">SUMIF($G$9:$G$233,$F$242,M9:M233)</f>
        <v>7539.45</v>
      </c>
      <c r="M242" s="110" t="n">
        <f aca="false">SUMIF($G$9:$G$233,$F$242,N9:N233)</f>
        <v>5851.75</v>
      </c>
      <c r="N242" s="108" t="n">
        <f aca="false">SUMIF($G$9:$G$233,$F$242,O9:O233)</f>
        <v>77</v>
      </c>
      <c r="O242" s="110" t="n">
        <f aca="false">SUMIF($G$9:$G$233,F242,$P$9:$P$233)</f>
        <v>179911.31</v>
      </c>
      <c r="P242" s="110" t="n">
        <f aca="false">SUMIF($G$9:$G$233,$F$242,Q9:Q233)</f>
        <v>32460.55</v>
      </c>
      <c r="Q242" s="110" t="n">
        <f aca="false">SUMIF($G$9:$G$233,$F$242,R9:R233)</f>
        <v>32460.55</v>
      </c>
      <c r="R242" s="110" t="n">
        <f aca="false">SUMIF($G$9:$G$233,$F$242,S9:S233)</f>
        <v>19029.6</v>
      </c>
      <c r="S242" s="110" t="n">
        <f aca="false">Q242+L242</f>
        <v>40000</v>
      </c>
      <c r="T242" s="111" t="n">
        <f aca="false">J242-L242+O242-Q242</f>
        <v>210725.36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16" t="n">
        <f aca="false">G242+G241+G240</f>
        <v>1276</v>
      </c>
      <c r="H243" s="216" t="n">
        <f aca="false">H242+H241+H240</f>
        <v>527</v>
      </c>
      <c r="I243" s="216" t="n">
        <f aca="false">I242+I241+I240</f>
        <v>633</v>
      </c>
      <c r="J243" s="217" t="n">
        <f aca="false">J242+J241+J240</f>
        <v>861652.61</v>
      </c>
      <c r="K243" s="217" t="n">
        <f aca="false">K242+K241+K240</f>
        <v>570278.69</v>
      </c>
      <c r="L243" s="217" t="n">
        <f aca="false">L242+L241+L240</f>
        <v>221160.28</v>
      </c>
      <c r="M243" s="217" t="n">
        <f aca="false">M242+M241+M240</f>
        <v>350917.56</v>
      </c>
      <c r="N243" s="216" t="n">
        <f aca="false">N242+N241+N240</f>
        <v>774</v>
      </c>
      <c r="O243" s="217" t="n">
        <f aca="false">O242+O241+O240</f>
        <v>2264263.45</v>
      </c>
      <c r="P243" s="217" t="n">
        <f aca="false">P242+P241+P240</f>
        <v>1646718.05</v>
      </c>
      <c r="Q243" s="217" t="n">
        <f aca="false">Q242+Q241+Q240</f>
        <v>995788.67</v>
      </c>
      <c r="R243" s="217" t="n">
        <f aca="false">R242+R241+R240</f>
        <v>669958.98</v>
      </c>
      <c r="S243" s="217" t="n">
        <f aca="false">S242+S241+S240</f>
        <v>1216948.95</v>
      </c>
      <c r="T243" s="217" t="n">
        <f aca="false">T242+T241+T240</f>
        <v>1908967.11</v>
      </c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 t="n">
        <v>822</v>
      </c>
      <c r="H273" s="2" t="n">
        <v>449</v>
      </c>
      <c r="I273" s="2" t="n">
        <v>509</v>
      </c>
      <c r="J273" s="2" t="n">
        <v>662137.74</v>
      </c>
      <c r="K273" s="2"/>
      <c r="L273" s="2"/>
      <c r="M273" s="2"/>
      <c r="N273" s="2" t="n">
        <v>536</v>
      </c>
      <c r="O273" s="2" t="n">
        <v>1632485.95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F304" s="0" t="s">
        <v>22</v>
      </c>
      <c r="G304" s="0" t="n">
        <v>782</v>
      </c>
      <c r="H304" s="248" t="n">
        <v>444</v>
      </c>
      <c r="I304" s="248" t="n">
        <v>504</v>
      </c>
      <c r="J304" s="0" t="n">
        <v>657677.74</v>
      </c>
      <c r="K304" s="236"/>
      <c r="N304" s="0" t="n">
        <v>528</v>
      </c>
      <c r="O304" s="0" t="n">
        <v>1567410.88</v>
      </c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</sheetData>
  <mergeCells count="55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9"/>
    <mergeCell ref="B167:B169"/>
    <mergeCell ref="C167:C169"/>
    <mergeCell ref="D167:D169"/>
    <mergeCell ref="E167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B176:B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F238:F239"/>
    <mergeCell ref="G238:M238"/>
    <mergeCell ref="N238:R238"/>
    <mergeCell ref="S238:S239"/>
    <mergeCell ref="T238:T239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22"/>
      <c r="I9" s="23"/>
      <c r="J9" s="23"/>
      <c r="K9" s="24" t="n">
        <f aca="false">L9+M9</f>
        <v>0</v>
      </c>
      <c r="L9" s="24"/>
      <c r="M9" s="24"/>
      <c r="N9" s="23"/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26"/>
      <c r="I10" s="28"/>
      <c r="J10" s="28"/>
      <c r="K10" s="29" t="n">
        <f aca="false">L10+M10</f>
        <v>0</v>
      </c>
      <c r="L10" s="29"/>
      <c r="M10" s="30"/>
      <c r="N10" s="31"/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38" t="n">
        <v>1</v>
      </c>
      <c r="I11" s="39"/>
      <c r="J11" s="39"/>
      <c r="K11" s="40" t="n">
        <f aca="false">L11+M11</f>
        <v>0</v>
      </c>
      <c r="L11" s="40"/>
      <c r="M11" s="40"/>
      <c r="N11" s="39"/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42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22" t="n">
        <v>4</v>
      </c>
      <c r="I13" s="23" t="n">
        <v>3</v>
      </c>
      <c r="J13" s="23" t="n">
        <v>3</v>
      </c>
      <c r="K13" s="24" t="n">
        <f aca="false">L13+M13</f>
        <v>0</v>
      </c>
      <c r="L13" s="24"/>
      <c r="M13" s="24"/>
      <c r="N13" s="23"/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26"/>
      <c r="I14" s="28"/>
      <c r="J14" s="28"/>
      <c r="K14" s="29" t="n">
        <f aca="false">L14+M14</f>
        <v>0</v>
      </c>
      <c r="L14" s="29"/>
      <c r="M14" s="30"/>
      <c r="N14" s="28" t="n">
        <v>1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38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42" t="n">
        <v>2</v>
      </c>
      <c r="I16" s="45"/>
      <c r="J16" s="45"/>
      <c r="K16" s="46" t="n">
        <f aca="false">L16+M16</f>
        <v>0</v>
      </c>
      <c r="L16" s="46"/>
      <c r="M16" s="47"/>
      <c r="N16" s="45" t="n">
        <v>1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22" t="n">
        <v>1</v>
      </c>
      <c r="I17" s="23"/>
      <c r="J17" s="23"/>
      <c r="K17" s="24" t="n">
        <f aca="false">L17+M17</f>
        <v>0</v>
      </c>
      <c r="L17" s="24"/>
      <c r="M17" s="24"/>
      <c r="N17" s="23" t="n">
        <v>2</v>
      </c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26" t="n">
        <v>1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38" t="n">
        <v>6</v>
      </c>
      <c r="I19" s="39" t="n">
        <v>4</v>
      </c>
      <c r="J19" s="39" t="n">
        <v>4</v>
      </c>
      <c r="K19" s="40" t="n">
        <f aca="false">L19+M19</f>
        <v>0</v>
      </c>
      <c r="L19" s="40"/>
      <c r="M19" s="40"/>
      <c r="N19" s="39" t="n">
        <v>5</v>
      </c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26" t="n">
        <v>1</v>
      </c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38" t="n">
        <v>5</v>
      </c>
      <c r="I21" s="61"/>
      <c r="J21" s="61"/>
      <c r="K21" s="62" t="n">
        <f aca="false">L21+M21</f>
        <v>0</v>
      </c>
      <c r="L21" s="62"/>
      <c r="M21" s="62"/>
      <c r="N21" s="61"/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42"/>
      <c r="I22" s="64"/>
      <c r="J22" s="64"/>
      <c r="K22" s="65" t="n">
        <f aca="false">L22+M22</f>
        <v>0</v>
      </c>
      <c r="L22" s="65"/>
      <c r="M22" s="65"/>
      <c r="N22" s="64"/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22"/>
      <c r="I23" s="67"/>
      <c r="J23" s="67"/>
      <c r="K23" s="68" t="n">
        <f aca="false">L23+M23</f>
        <v>0</v>
      </c>
      <c r="L23" s="68"/>
      <c r="M23" s="68"/>
      <c r="N23" s="67" t="n">
        <v>2</v>
      </c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26"/>
      <c r="G24" s="27" t="s">
        <v>26</v>
      </c>
      <c r="H24" s="26"/>
      <c r="I24" s="58"/>
      <c r="J24" s="58"/>
      <c r="K24" s="59" t="n">
        <f aca="false">L24+M24</f>
        <v>0</v>
      </c>
      <c r="L24" s="59"/>
      <c r="M24" s="59"/>
      <c r="N24" s="58"/>
      <c r="O24" s="59" t="n">
        <f aca="false">P24+Q24</f>
        <v>0</v>
      </c>
      <c r="P24" s="59"/>
      <c r="Q24" s="60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40</v>
      </c>
      <c r="C25" s="19" t="s">
        <v>38</v>
      </c>
      <c r="D25" s="19" t="s">
        <v>41</v>
      </c>
      <c r="E25" s="19" t="s">
        <v>42</v>
      </c>
      <c r="F25" s="20"/>
      <c r="G25" s="21" t="s">
        <v>22</v>
      </c>
      <c r="H25" s="22"/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26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5.75" hidden="false" customHeight="true" outlineLevel="0" collapsed="false">
      <c r="A27" s="54"/>
      <c r="B27" s="55" t="s">
        <v>43</v>
      </c>
      <c r="C27" s="56" t="s">
        <v>33</v>
      </c>
      <c r="D27" s="56" t="s">
        <v>44</v>
      </c>
      <c r="E27" s="56" t="s">
        <v>45</v>
      </c>
      <c r="F27" s="36"/>
      <c r="G27" s="21" t="s">
        <v>22</v>
      </c>
      <c r="H27" s="38" t="n">
        <v>3</v>
      </c>
      <c r="I27" s="61" t="n">
        <v>1</v>
      </c>
      <c r="J27" s="61" t="n">
        <v>1</v>
      </c>
      <c r="K27" s="62" t="n">
        <v>0</v>
      </c>
      <c r="L27" s="62"/>
      <c r="M27" s="62"/>
      <c r="N27" s="61" t="n">
        <v>6</v>
      </c>
      <c r="O27" s="62" t="n">
        <f aca="false">P27+Q27</f>
        <v>0</v>
      </c>
      <c r="P27" s="62"/>
      <c r="Q27" s="63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customFormat="false" ht="15.75" hidden="false" customHeight="true" outlineLevel="0" collapsed="false">
      <c r="A28" s="54"/>
      <c r="B28" s="55"/>
      <c r="C28" s="55"/>
      <c r="D28" s="55"/>
      <c r="E28" s="55"/>
      <c r="F28" s="26"/>
      <c r="G28" s="27" t="s">
        <v>26</v>
      </c>
      <c r="H28" s="26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" hidden="false" customHeight="true" outlineLevel="0" collapsed="false">
      <c r="A29" s="33"/>
      <c r="B29" s="34" t="s">
        <v>46</v>
      </c>
      <c r="C29" s="35" t="s">
        <v>20</v>
      </c>
      <c r="D29" s="35"/>
      <c r="E29" s="35" t="s">
        <v>25</v>
      </c>
      <c r="F29" s="36"/>
      <c r="G29" s="21" t="s">
        <v>22</v>
      </c>
      <c r="H29" s="38" t="n">
        <v>2</v>
      </c>
      <c r="I29" s="61" t="n">
        <v>1</v>
      </c>
      <c r="J29" s="61" t="n">
        <v>1</v>
      </c>
      <c r="K29" s="62" t="n">
        <f aca="false">L29+M29</f>
        <v>0</v>
      </c>
      <c r="L29" s="62"/>
      <c r="M29" s="62"/>
      <c r="N29" s="61" t="n">
        <v>4</v>
      </c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5.75" hidden="false" customHeight="true" outlineLevel="0" collapsed="false">
      <c r="A30" s="33"/>
      <c r="B30" s="34"/>
      <c r="C30" s="34"/>
      <c r="D30" s="34"/>
      <c r="E30" s="34"/>
      <c r="F30" s="71"/>
      <c r="G30" s="43" t="s">
        <v>26</v>
      </c>
      <c r="H30" s="42"/>
      <c r="I30" s="64"/>
      <c r="J30" s="64"/>
      <c r="K30" s="65" t="n">
        <f aca="false">L30+M30</f>
        <v>0</v>
      </c>
      <c r="L30" s="65"/>
      <c r="M30" s="65"/>
      <c r="N30" s="64"/>
      <c r="O30" s="65" t="n">
        <f aca="false">P30+Q30</f>
        <v>0</v>
      </c>
      <c r="P30" s="65"/>
      <c r="Q30" s="66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72"/>
      <c r="B31" s="73" t="s">
        <v>47</v>
      </c>
      <c r="C31" s="74" t="s">
        <v>20</v>
      </c>
      <c r="D31" s="74"/>
      <c r="E31" s="75" t="s">
        <v>25</v>
      </c>
      <c r="F31" s="22"/>
      <c r="G31" s="21" t="s">
        <v>22</v>
      </c>
      <c r="H31" s="76" t="n">
        <v>1</v>
      </c>
      <c r="I31" s="67"/>
      <c r="J31" s="67"/>
      <c r="K31" s="68" t="n">
        <f aca="false">L31+M31</f>
        <v>0</v>
      </c>
      <c r="L31" s="68"/>
      <c r="M31" s="68"/>
      <c r="N31" s="67"/>
      <c r="O31" s="68" t="n">
        <f aca="false">P31+Q31</f>
        <v>0</v>
      </c>
      <c r="P31" s="68"/>
      <c r="Q31" s="69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72"/>
      <c r="B32" s="73"/>
      <c r="C32" s="73"/>
      <c r="D32" s="73"/>
      <c r="E32" s="75"/>
      <c r="F32" s="42"/>
      <c r="G32" s="43" t="s">
        <v>26</v>
      </c>
      <c r="H32" s="77" t="n">
        <v>3</v>
      </c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17"/>
      <c r="B33" s="18" t="s">
        <v>48</v>
      </c>
      <c r="C33" s="19" t="s">
        <v>20</v>
      </c>
      <c r="D33" s="19"/>
      <c r="E33" s="19" t="s">
        <v>25</v>
      </c>
      <c r="F33" s="20"/>
      <c r="G33" s="21" t="s">
        <v>22</v>
      </c>
      <c r="H33" s="22"/>
      <c r="I33" s="67"/>
      <c r="J33" s="67"/>
      <c r="K33" s="68" t="n">
        <f aca="false">L33+M33</f>
        <v>0</v>
      </c>
      <c r="L33" s="68"/>
      <c r="M33" s="68"/>
      <c r="N33" s="67" t="n">
        <v>1</v>
      </c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17"/>
      <c r="B34" s="18"/>
      <c r="C34" s="18"/>
      <c r="D34" s="18"/>
      <c r="E34" s="18"/>
      <c r="F34" s="26"/>
      <c r="G34" s="27" t="s">
        <v>26</v>
      </c>
      <c r="H34" s="26"/>
      <c r="I34" s="58"/>
      <c r="J34" s="58"/>
      <c r="K34" s="59" t="n">
        <f aca="false">L34+M34</f>
        <v>0</v>
      </c>
      <c r="L34" s="59"/>
      <c r="M34" s="59"/>
      <c r="N34" s="58"/>
      <c r="O34" s="59" t="n">
        <f aca="false">P34+Q34</f>
        <v>0</v>
      </c>
      <c r="P34" s="59"/>
      <c r="Q34" s="60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" hidden="false" customHeight="true" outlineLevel="0" collapsed="false">
      <c r="A35" s="54"/>
      <c r="B35" s="55" t="s">
        <v>49</v>
      </c>
      <c r="C35" s="56" t="s">
        <v>20</v>
      </c>
      <c r="D35" s="78"/>
      <c r="E35" s="56" t="s">
        <v>50</v>
      </c>
      <c r="F35" s="36"/>
      <c r="G35" s="21" t="s">
        <v>22</v>
      </c>
      <c r="H35" s="38"/>
      <c r="I35" s="61"/>
      <c r="J35" s="61"/>
      <c r="K35" s="62" t="n">
        <f aca="false">L35+M35</f>
        <v>0</v>
      </c>
      <c r="L35" s="62"/>
      <c r="M35" s="62"/>
      <c r="N35" s="61"/>
      <c r="O35" s="62" t="n">
        <f aca="false">P35+Q35</f>
        <v>0</v>
      </c>
      <c r="P35" s="62"/>
      <c r="Q35" s="63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57"/>
      <c r="G36" s="27" t="s">
        <v>26</v>
      </c>
      <c r="H36" s="26"/>
      <c r="I36" s="58"/>
      <c r="J36" s="58"/>
      <c r="K36" s="59" t="n">
        <f aca="false">L36+M36</f>
        <v>0</v>
      </c>
      <c r="L36" s="59"/>
      <c r="M36" s="59"/>
      <c r="N36" s="58"/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33"/>
      <c r="B37" s="34" t="s">
        <v>51</v>
      </c>
      <c r="C37" s="35" t="s">
        <v>20</v>
      </c>
      <c r="D37" s="35"/>
      <c r="E37" s="35" t="s">
        <v>52</v>
      </c>
      <c r="F37" s="36"/>
      <c r="G37" s="21" t="s">
        <v>22</v>
      </c>
      <c r="H37" s="38"/>
      <c r="I37" s="61"/>
      <c r="J37" s="61"/>
      <c r="K37" s="62" t="n">
        <f aca="false">L37+M37</f>
        <v>0</v>
      </c>
      <c r="L37" s="62"/>
      <c r="M37" s="62"/>
      <c r="N37" s="61"/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43" t="s">
        <v>26</v>
      </c>
      <c r="H38" s="42"/>
      <c r="I38" s="64"/>
      <c r="J38" s="64"/>
      <c r="K38" s="65" t="n">
        <f aca="false">L38+M38</f>
        <v>0</v>
      </c>
      <c r="L38" s="65"/>
      <c r="M38" s="65"/>
      <c r="N38" s="64"/>
      <c r="O38" s="65" t="n">
        <f aca="false">P38+Q38</f>
        <v>0</v>
      </c>
      <c r="P38" s="65"/>
      <c r="Q38" s="66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17"/>
      <c r="B39" s="18" t="s">
        <v>53</v>
      </c>
      <c r="C39" s="19" t="s">
        <v>33</v>
      </c>
      <c r="D39" s="19" t="s">
        <v>54</v>
      </c>
      <c r="E39" s="19" t="s">
        <v>42</v>
      </c>
      <c r="F39" s="20"/>
      <c r="G39" s="21" t="s">
        <v>22</v>
      </c>
      <c r="H39" s="22" t="n">
        <v>3</v>
      </c>
      <c r="I39" s="67"/>
      <c r="J39" s="67"/>
      <c r="K39" s="68" t="n">
        <f aca="false">L39+M39</f>
        <v>0</v>
      </c>
      <c r="L39" s="68"/>
      <c r="M39" s="68"/>
      <c r="N39" s="67"/>
      <c r="O39" s="68" t="n">
        <f aca="false">P39+Q39</f>
        <v>0</v>
      </c>
      <c r="P39" s="68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17"/>
      <c r="B40" s="18"/>
      <c r="C40" s="18"/>
      <c r="D40" s="18"/>
      <c r="E40" s="18"/>
      <c r="F40" s="57"/>
      <c r="G40" s="27" t="s">
        <v>23</v>
      </c>
      <c r="H40" s="26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55</v>
      </c>
      <c r="C41" s="35" t="s">
        <v>20</v>
      </c>
      <c r="D41" s="35"/>
      <c r="E41" s="35" t="s">
        <v>25</v>
      </c>
      <c r="F41" s="38"/>
      <c r="G41" s="21" t="s">
        <v>22</v>
      </c>
      <c r="H41" s="38"/>
      <c r="I41" s="61"/>
      <c r="J41" s="61"/>
      <c r="K41" s="62" t="n">
        <f aca="false">L41+M41</f>
        <v>0</v>
      </c>
      <c r="L41" s="62"/>
      <c r="M41" s="62"/>
      <c r="N41" s="61"/>
      <c r="O41" s="62" t="n">
        <f aca="false">P41+Q41</f>
        <v>0</v>
      </c>
      <c r="P41" s="62"/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42"/>
      <c r="G42" s="43" t="s">
        <v>26</v>
      </c>
      <c r="H42" s="42" t="n">
        <v>1</v>
      </c>
      <c r="I42" s="64"/>
      <c r="J42" s="64"/>
      <c r="K42" s="65" t="n">
        <f aca="false">L42+M42</f>
        <v>0</v>
      </c>
      <c r="L42" s="65"/>
      <c r="M42" s="65"/>
      <c r="N42" s="64"/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.75" hidden="false" customHeight="true" outlineLevel="0" collapsed="false">
      <c r="A43" s="17"/>
      <c r="B43" s="18" t="s">
        <v>56</v>
      </c>
      <c r="C43" s="19" t="s">
        <v>33</v>
      </c>
      <c r="D43" s="19" t="s">
        <v>57</v>
      </c>
      <c r="E43" s="19" t="s">
        <v>25</v>
      </c>
      <c r="F43" s="20"/>
      <c r="G43" s="21" t="s">
        <v>22</v>
      </c>
      <c r="H43" s="22" t="n">
        <v>1</v>
      </c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/>
      <c r="G44" s="27" t="s">
        <v>26</v>
      </c>
      <c r="H44" s="26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58</v>
      </c>
      <c r="C45" s="35" t="s">
        <v>20</v>
      </c>
      <c r="D45" s="35"/>
      <c r="E45" s="35" t="s">
        <v>52</v>
      </c>
      <c r="F45" s="36"/>
      <c r="G45" s="21" t="s">
        <v>22</v>
      </c>
      <c r="H45" s="38" t="n">
        <v>1</v>
      </c>
      <c r="I45" s="61"/>
      <c r="J45" s="61"/>
      <c r="K45" s="62" t="n">
        <f aca="false">L45+M45</f>
        <v>0</v>
      </c>
      <c r="L45" s="62"/>
      <c r="M45" s="62"/>
      <c r="N45" s="61" t="n">
        <v>2</v>
      </c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43" t="s">
        <v>26</v>
      </c>
      <c r="H46" s="42"/>
      <c r="I46" s="64"/>
      <c r="J46" s="64"/>
      <c r="K46" s="65" t="n">
        <f aca="false">L46+M46</f>
        <v>0</v>
      </c>
      <c r="L46" s="65"/>
      <c r="M46" s="65"/>
      <c r="N46" s="64"/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72"/>
      <c r="B47" s="73" t="s">
        <v>59</v>
      </c>
      <c r="C47" s="74" t="s">
        <v>20</v>
      </c>
      <c r="D47" s="79"/>
      <c r="E47" s="74" t="s">
        <v>25</v>
      </c>
      <c r="F47" s="22"/>
      <c r="G47" s="21" t="s">
        <v>22</v>
      </c>
      <c r="H47" s="22"/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72"/>
      <c r="B48" s="73"/>
      <c r="C48" s="73"/>
      <c r="D48" s="73"/>
      <c r="E48" s="73"/>
      <c r="F48" s="71"/>
      <c r="G48" s="43" t="s">
        <v>26</v>
      </c>
      <c r="H48" s="42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60</v>
      </c>
      <c r="C49" s="19" t="s">
        <v>20</v>
      </c>
      <c r="D49" s="19"/>
      <c r="E49" s="19" t="s">
        <v>21</v>
      </c>
      <c r="F49" s="22"/>
      <c r="G49" s="21" t="s">
        <v>22</v>
      </c>
      <c r="H49" s="22"/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57"/>
      <c r="G50" s="27" t="s">
        <v>23</v>
      </c>
      <c r="H50" s="26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.75" hidden="false" customHeight="true" outlineLevel="0" collapsed="false">
      <c r="A51" s="33"/>
      <c r="B51" s="34" t="s">
        <v>61</v>
      </c>
      <c r="C51" s="35" t="s">
        <v>33</v>
      </c>
      <c r="D51" s="56" t="s">
        <v>62</v>
      </c>
      <c r="E51" s="35" t="s">
        <v>25</v>
      </c>
      <c r="F51" s="36"/>
      <c r="G51" s="21" t="s">
        <v>22</v>
      </c>
      <c r="H51" s="38" t="n">
        <v>2</v>
      </c>
      <c r="I51" s="61"/>
      <c r="J51" s="61"/>
      <c r="K51" s="62" t="n">
        <f aca="false">L51+M51</f>
        <v>0</v>
      </c>
      <c r="L51" s="62"/>
      <c r="M51" s="62"/>
      <c r="N51" s="61"/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56"/>
      <c r="E52" s="35"/>
      <c r="F52" s="42"/>
      <c r="G52" s="43" t="s">
        <v>26</v>
      </c>
      <c r="H52" s="42"/>
      <c r="I52" s="64"/>
      <c r="J52" s="64"/>
      <c r="K52" s="65" t="n">
        <f aca="false">L52+M52</f>
        <v>0</v>
      </c>
      <c r="L52" s="65"/>
      <c r="M52" s="65"/>
      <c r="N52" s="64" t="n">
        <v>1</v>
      </c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.75" hidden="false" customHeight="true" outlineLevel="0" collapsed="false">
      <c r="A53" s="72"/>
      <c r="B53" s="73" t="s">
        <v>63</v>
      </c>
      <c r="C53" s="74" t="s">
        <v>20</v>
      </c>
      <c r="D53" s="74"/>
      <c r="E53" s="74" t="s">
        <v>25</v>
      </c>
      <c r="F53" s="20"/>
      <c r="G53" s="21" t="s">
        <v>22</v>
      </c>
      <c r="H53" s="22"/>
      <c r="I53" s="67"/>
      <c r="J53" s="67"/>
      <c r="K53" s="68" t="n">
        <f aca="false">L53+M53</f>
        <v>0</v>
      </c>
      <c r="L53" s="68"/>
      <c r="M53" s="68"/>
      <c r="N53" s="67"/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42"/>
      <c r="G54" s="43" t="s">
        <v>26</v>
      </c>
      <c r="H54" s="42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64</v>
      </c>
      <c r="C55" s="74" t="s">
        <v>20</v>
      </c>
      <c r="D55" s="74"/>
      <c r="E55" s="74" t="s">
        <v>25</v>
      </c>
      <c r="F55" s="20"/>
      <c r="G55" s="21" t="s">
        <v>22</v>
      </c>
      <c r="H55" s="22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42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17"/>
      <c r="B57" s="18" t="s">
        <v>65</v>
      </c>
      <c r="C57" s="19" t="s">
        <v>33</v>
      </c>
      <c r="D57" s="19" t="s">
        <v>66</v>
      </c>
      <c r="E57" s="19" t="s">
        <v>67</v>
      </c>
      <c r="F57" s="20"/>
      <c r="G57" s="21" t="s">
        <v>22</v>
      </c>
      <c r="H57" s="22" t="n">
        <v>2</v>
      </c>
      <c r="I57" s="67"/>
      <c r="J57" s="67"/>
      <c r="K57" s="68" t="n">
        <f aca="false">L57+M57</f>
        <v>0</v>
      </c>
      <c r="L57" s="68"/>
      <c r="M57" s="68"/>
      <c r="N57" s="67"/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26"/>
      <c r="G58" s="27" t="s">
        <v>23</v>
      </c>
      <c r="H58" s="26" t="n">
        <v>3</v>
      </c>
      <c r="I58" s="58"/>
      <c r="J58" s="58"/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68</v>
      </c>
      <c r="C59" s="35" t="s">
        <v>20</v>
      </c>
      <c r="D59" s="35"/>
      <c r="E59" s="35" t="s">
        <v>69</v>
      </c>
      <c r="F59" s="38"/>
      <c r="G59" s="21" t="s">
        <v>22</v>
      </c>
      <c r="H59" s="38"/>
      <c r="I59" s="61"/>
      <c r="J59" s="61"/>
      <c r="K59" s="62" t="n">
        <f aca="false">L59+M59</f>
        <v>0</v>
      </c>
      <c r="L59" s="62"/>
      <c r="M59" s="62"/>
      <c r="N59" s="61" t="n">
        <v>1</v>
      </c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42"/>
      <c r="G60" s="43" t="s">
        <v>26</v>
      </c>
      <c r="H60" s="42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17"/>
      <c r="B61" s="18" t="s">
        <v>70</v>
      </c>
      <c r="C61" s="19" t="s">
        <v>20</v>
      </c>
      <c r="D61" s="19" t="s">
        <v>71</v>
      </c>
      <c r="E61" s="19" t="s">
        <v>25</v>
      </c>
      <c r="F61" s="20"/>
      <c r="G61" s="21" t="s">
        <v>22</v>
      </c>
      <c r="H61" s="22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26"/>
      <c r="G62" s="27" t="s">
        <v>26</v>
      </c>
      <c r="H62" s="26"/>
      <c r="I62" s="58"/>
      <c r="J62" s="58"/>
      <c r="K62" s="59" t="n">
        <f aca="false">L62+M62</f>
        <v>0</v>
      </c>
      <c r="L62" s="59"/>
      <c r="M62" s="59"/>
      <c r="N62" s="58"/>
      <c r="O62" s="59" t="n">
        <f aca="false">P62+Q62</f>
        <v>0</v>
      </c>
      <c r="P62" s="59"/>
      <c r="Q62" s="60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33"/>
      <c r="B63" s="34" t="s">
        <v>72</v>
      </c>
      <c r="C63" s="35" t="s">
        <v>20</v>
      </c>
      <c r="D63" s="35"/>
      <c r="E63" s="35" t="s">
        <v>52</v>
      </c>
      <c r="F63" s="36"/>
      <c r="G63" s="21" t="s">
        <v>22</v>
      </c>
      <c r="H63" s="38" t="n">
        <v>1</v>
      </c>
      <c r="I63" s="61"/>
      <c r="J63" s="61"/>
      <c r="K63" s="62" t="n">
        <f aca="false">L63+M63</f>
        <v>0</v>
      </c>
      <c r="L63" s="62"/>
      <c r="M63" s="62"/>
      <c r="N63" s="61"/>
      <c r="O63" s="62" t="n">
        <f aca="false">P63+Q63</f>
        <v>0</v>
      </c>
      <c r="P63" s="62"/>
      <c r="Q63" s="63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42"/>
      <c r="G64" s="43" t="s">
        <v>26</v>
      </c>
      <c r="H64" s="42"/>
      <c r="I64" s="64"/>
      <c r="J64" s="64"/>
      <c r="K64" s="65" t="n">
        <f aca="false">L64+M64</f>
        <v>0</v>
      </c>
      <c r="L64" s="65"/>
      <c r="M64" s="65"/>
      <c r="N64" s="64"/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17"/>
      <c r="B65" s="18" t="s">
        <v>73</v>
      </c>
      <c r="C65" s="19" t="s">
        <v>20</v>
      </c>
      <c r="D65" s="19"/>
      <c r="E65" s="19" t="s">
        <v>52</v>
      </c>
      <c r="F65" s="20"/>
      <c r="G65" s="21" t="s">
        <v>22</v>
      </c>
      <c r="H65" s="22" t="n">
        <v>1</v>
      </c>
      <c r="I65" s="67"/>
      <c r="J65" s="67"/>
      <c r="K65" s="68" t="n">
        <f aca="false">L65+M65</f>
        <v>0</v>
      </c>
      <c r="L65" s="68"/>
      <c r="M65" s="68"/>
      <c r="N65" s="67"/>
      <c r="O65" s="68" t="n">
        <f aca="false">P65+Q65</f>
        <v>0</v>
      </c>
      <c r="P65" s="68"/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26"/>
      <c r="G66" s="27" t="s">
        <v>26</v>
      </c>
      <c r="H66" s="26"/>
      <c r="I66" s="58"/>
      <c r="J66" s="58"/>
      <c r="K66" s="59" t="n">
        <f aca="false">L66+M66</f>
        <v>0</v>
      </c>
      <c r="L66" s="59"/>
      <c r="M66" s="59"/>
      <c r="N66" s="58" t="n">
        <v>1</v>
      </c>
      <c r="O66" s="59" t="n">
        <f aca="false">P66+Q66</f>
        <v>0</v>
      </c>
      <c r="P66" s="59"/>
      <c r="Q66" s="60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33"/>
      <c r="B67" s="34" t="s">
        <v>74</v>
      </c>
      <c r="C67" s="35" t="s">
        <v>33</v>
      </c>
      <c r="D67" s="35" t="s">
        <v>75</v>
      </c>
      <c r="E67" s="35" t="s">
        <v>25</v>
      </c>
      <c r="F67" s="36"/>
      <c r="G67" s="21" t="s">
        <v>22</v>
      </c>
      <c r="H67" s="38" t="n">
        <v>8</v>
      </c>
      <c r="I67" s="61"/>
      <c r="J67" s="61"/>
      <c r="K67" s="62" t="n">
        <f aca="false">L67+M67</f>
        <v>0</v>
      </c>
      <c r="L67" s="62"/>
      <c r="M67" s="62"/>
      <c r="N67" s="61" t="n">
        <v>6</v>
      </c>
      <c r="O67" s="62" t="n">
        <f aca="false">P67+Q67</f>
        <v>0</v>
      </c>
      <c r="P67" s="62"/>
      <c r="Q67" s="63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42"/>
      <c r="G68" s="43" t="s">
        <v>26</v>
      </c>
      <c r="H68" s="42"/>
      <c r="I68" s="64"/>
      <c r="J68" s="64"/>
      <c r="K68" s="65" t="n">
        <f aca="false">L68+M68</f>
        <v>0</v>
      </c>
      <c r="L68" s="65"/>
      <c r="M68" s="65"/>
      <c r="N68" s="64" t="n">
        <v>1</v>
      </c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76</v>
      </c>
      <c r="C69" s="74" t="s">
        <v>20</v>
      </c>
      <c r="D69" s="74"/>
      <c r="E69" s="74" t="s">
        <v>25</v>
      </c>
      <c r="F69" s="20"/>
      <c r="G69" s="21" t="s">
        <v>22</v>
      </c>
      <c r="H69" s="22" t="n">
        <v>1</v>
      </c>
      <c r="I69" s="67"/>
      <c r="J69" s="67"/>
      <c r="K69" s="68" t="n">
        <f aca="false">L69+M69</f>
        <v>0</v>
      </c>
      <c r="L69" s="68"/>
      <c r="M69" s="68"/>
      <c r="N69" s="67"/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42"/>
      <c r="G70" s="43" t="s">
        <v>26</v>
      </c>
      <c r="H70" s="42" t="n">
        <v>1</v>
      </c>
      <c r="I70" s="64"/>
      <c r="J70" s="64"/>
      <c r="K70" s="65" t="n">
        <f aca="false">L70+M70</f>
        <v>0</v>
      </c>
      <c r="L70" s="65"/>
      <c r="M70" s="65"/>
      <c r="N70" s="64"/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77</v>
      </c>
      <c r="C71" s="19" t="s">
        <v>38</v>
      </c>
      <c r="D71" s="19" t="s">
        <v>78</v>
      </c>
      <c r="E71" s="19" t="s">
        <v>25</v>
      </c>
      <c r="F71" s="22"/>
      <c r="G71" s="21" t="s">
        <v>22</v>
      </c>
      <c r="H71" s="22"/>
      <c r="I71" s="67"/>
      <c r="J71" s="67"/>
      <c r="K71" s="68" t="n">
        <f aca="false">L71+M71</f>
        <v>0</v>
      </c>
      <c r="L71" s="68"/>
      <c r="M71" s="68"/>
      <c r="N71" s="67" t="n">
        <v>1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80"/>
      <c r="G72" s="81" t="s">
        <v>26</v>
      </c>
      <c r="H72" s="80" t="n">
        <v>1</v>
      </c>
      <c r="I72" s="82"/>
      <c r="J72" s="82"/>
      <c r="K72" s="83" t="n">
        <f aca="false">L72+M72</f>
        <v>0</v>
      </c>
      <c r="L72" s="83"/>
      <c r="M72" s="83"/>
      <c r="N72" s="82" t="n">
        <v>3</v>
      </c>
      <c r="O72" s="83" t="n">
        <f aca="false">P72+Q72</f>
        <v>0</v>
      </c>
      <c r="P72" s="83"/>
      <c r="Q72" s="84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false" outlineLevel="0" collapsed="false">
      <c r="A73" s="17"/>
      <c r="B73" s="18"/>
      <c r="C73" s="18"/>
      <c r="D73" s="18"/>
      <c r="E73" s="18"/>
      <c r="F73" s="85"/>
      <c r="G73" s="86" t="s">
        <v>23</v>
      </c>
      <c r="H73" s="85"/>
      <c r="I73" s="58"/>
      <c r="J73" s="58"/>
      <c r="K73" s="59" t="n">
        <f aca="false">L73+M73</f>
        <v>0</v>
      </c>
      <c r="L73" s="59"/>
      <c r="M73" s="59"/>
      <c r="N73" s="58" t="n">
        <v>2</v>
      </c>
      <c r="O73" s="59" t="n">
        <f aca="false">P73+Q73</f>
        <v>0</v>
      </c>
      <c r="P73" s="59"/>
      <c r="Q73" s="60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true" outlineLevel="0" collapsed="false">
      <c r="A74" s="33"/>
      <c r="B74" s="34" t="s">
        <v>79</v>
      </c>
      <c r="C74" s="35" t="s">
        <v>20</v>
      </c>
      <c r="D74" s="35"/>
      <c r="E74" s="35" t="s">
        <v>52</v>
      </c>
      <c r="F74" s="38"/>
      <c r="G74" s="21" t="s">
        <v>22</v>
      </c>
      <c r="H74" s="38" t="n">
        <v>1</v>
      </c>
      <c r="I74" s="61"/>
      <c r="J74" s="61"/>
      <c r="K74" s="62" t="n">
        <f aca="false">L74+M74</f>
        <v>0</v>
      </c>
      <c r="L74" s="62"/>
      <c r="M74" s="62"/>
      <c r="N74" s="61"/>
      <c r="O74" s="62" t="n">
        <f aca="false">P74+Q74</f>
        <v>0</v>
      </c>
      <c r="P74" s="62"/>
      <c r="Q74" s="63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.75" hidden="false" customHeight="true" outlineLevel="0" collapsed="false">
      <c r="A75" s="33"/>
      <c r="B75" s="34"/>
      <c r="C75" s="34"/>
      <c r="D75" s="34"/>
      <c r="E75" s="34"/>
      <c r="F75" s="42"/>
      <c r="G75" s="43" t="s">
        <v>26</v>
      </c>
      <c r="H75" s="42"/>
      <c r="I75" s="64"/>
      <c r="J75" s="64"/>
      <c r="K75" s="65" t="n">
        <f aca="false">L75+M75</f>
        <v>0</v>
      </c>
      <c r="L75" s="65"/>
      <c r="M75" s="65"/>
      <c r="N75" s="64"/>
      <c r="O75" s="65" t="n">
        <f aca="false">P75+Q75</f>
        <v>0</v>
      </c>
      <c r="P75" s="65"/>
      <c r="Q75" s="6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" hidden="false" customHeight="true" outlineLevel="0" collapsed="false">
      <c r="A76" s="72"/>
      <c r="B76" s="73" t="s">
        <v>80</v>
      </c>
      <c r="C76" s="74" t="s">
        <v>20</v>
      </c>
      <c r="D76" s="74"/>
      <c r="E76" s="74" t="s">
        <v>81</v>
      </c>
      <c r="F76" s="20"/>
      <c r="G76" s="21" t="s">
        <v>22</v>
      </c>
      <c r="H76" s="22" t="n">
        <v>1</v>
      </c>
      <c r="I76" s="67"/>
      <c r="J76" s="67"/>
      <c r="K76" s="68" t="n">
        <f aca="false">L76+M76</f>
        <v>0</v>
      </c>
      <c r="L76" s="68"/>
      <c r="M76" s="68"/>
      <c r="N76" s="67"/>
      <c r="O76" s="68" t="n">
        <f aca="false">P76+Q76</f>
        <v>0</v>
      </c>
      <c r="P76" s="68"/>
      <c r="Q76" s="69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72"/>
      <c r="B77" s="73"/>
      <c r="C77" s="73"/>
      <c r="D77" s="73"/>
      <c r="E77" s="73"/>
      <c r="F77" s="42"/>
      <c r="G77" s="43" t="s">
        <v>26</v>
      </c>
      <c r="H77" s="42"/>
      <c r="I77" s="64"/>
      <c r="J77" s="64"/>
      <c r="K77" s="65" t="n">
        <f aca="false">L77+M77</f>
        <v>0</v>
      </c>
      <c r="L77" s="65"/>
      <c r="M77" s="65"/>
      <c r="N77" s="64"/>
      <c r="O77" s="65" t="n">
        <f aca="false">P77+Q77</f>
        <v>0</v>
      </c>
      <c r="P77" s="65"/>
      <c r="Q77" s="6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" hidden="false" customHeight="true" outlineLevel="0" collapsed="false">
      <c r="A78" s="17"/>
      <c r="B78" s="18" t="s">
        <v>82</v>
      </c>
      <c r="C78" s="19" t="s">
        <v>20</v>
      </c>
      <c r="D78" s="19"/>
      <c r="E78" s="19" t="s">
        <v>25</v>
      </c>
      <c r="F78" s="22"/>
      <c r="G78" s="21" t="s">
        <v>22</v>
      </c>
      <c r="H78" s="22" t="n">
        <v>1</v>
      </c>
      <c r="I78" s="67"/>
      <c r="J78" s="67"/>
      <c r="K78" s="68" t="n">
        <f aca="false">L78+M78</f>
        <v>0</v>
      </c>
      <c r="L78" s="68"/>
      <c r="M78" s="68"/>
      <c r="N78" s="67"/>
      <c r="O78" s="68" t="n">
        <f aca="false">P78+Q78</f>
        <v>0</v>
      </c>
      <c r="P78" s="68"/>
      <c r="Q78" s="69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.75" hidden="false" customHeight="true" outlineLevel="0" collapsed="false">
      <c r="A79" s="17"/>
      <c r="B79" s="18"/>
      <c r="C79" s="18"/>
      <c r="D79" s="18"/>
      <c r="E79" s="18"/>
      <c r="F79" s="26"/>
      <c r="G79" s="27" t="s">
        <v>26</v>
      </c>
      <c r="H79" s="26"/>
      <c r="I79" s="58"/>
      <c r="J79" s="58"/>
      <c r="K79" s="59" t="n">
        <f aca="false">L79+M79</f>
        <v>0</v>
      </c>
      <c r="L79" s="59"/>
      <c r="M79" s="59"/>
      <c r="N79" s="58"/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17"/>
      <c r="B80" s="18" t="s">
        <v>83</v>
      </c>
      <c r="C80" s="19" t="s">
        <v>20</v>
      </c>
      <c r="D80" s="19"/>
      <c r="E80" s="19" t="s">
        <v>25</v>
      </c>
      <c r="F80" s="20"/>
      <c r="G80" s="21" t="s">
        <v>22</v>
      </c>
      <c r="H80" s="22" t="n">
        <v>1</v>
      </c>
      <c r="I80" s="67"/>
      <c r="J80" s="67"/>
      <c r="K80" s="68" t="n">
        <f aca="false">L80+M80</f>
        <v>0</v>
      </c>
      <c r="L80" s="68"/>
      <c r="M80" s="68"/>
      <c r="N80" s="67"/>
      <c r="O80" s="68" t="n">
        <f aca="false">P80+Q80</f>
        <v>0</v>
      </c>
      <c r="P80" s="68"/>
      <c r="Q80" s="69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17"/>
      <c r="B81" s="18"/>
      <c r="C81" s="18"/>
      <c r="D81" s="18"/>
      <c r="E81" s="18"/>
      <c r="F81" s="26"/>
      <c r="G81" s="27" t="s">
        <v>26</v>
      </c>
      <c r="H81" s="26"/>
      <c r="I81" s="58"/>
      <c r="J81" s="58"/>
      <c r="K81" s="59" t="n">
        <f aca="false">L81+M81</f>
        <v>0</v>
      </c>
      <c r="L81" s="59"/>
      <c r="M81" s="59"/>
      <c r="N81" s="58"/>
      <c r="O81" s="59" t="n">
        <f aca="false">P81+Q81</f>
        <v>0</v>
      </c>
      <c r="P81" s="59"/>
      <c r="Q81" s="60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33"/>
      <c r="B82" s="34" t="s">
        <v>84</v>
      </c>
      <c r="C82" s="35" t="s">
        <v>20</v>
      </c>
      <c r="D82" s="35"/>
      <c r="E82" s="35" t="s">
        <v>52</v>
      </c>
      <c r="F82" s="36"/>
      <c r="G82" s="21" t="s">
        <v>22</v>
      </c>
      <c r="H82" s="38" t="n">
        <v>2</v>
      </c>
      <c r="I82" s="61"/>
      <c r="J82" s="61"/>
      <c r="K82" s="62" t="n">
        <f aca="false">L82+M82</f>
        <v>0</v>
      </c>
      <c r="L82" s="62"/>
      <c r="M82" s="62"/>
      <c r="N82" s="61"/>
      <c r="O82" s="62" t="n">
        <f aca="false">P82+Q82</f>
        <v>0</v>
      </c>
      <c r="P82" s="62"/>
      <c r="Q82" s="63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/>
      <c r="C83" s="34"/>
      <c r="D83" s="34"/>
      <c r="E83" s="34"/>
      <c r="F83" s="71"/>
      <c r="G83" s="43" t="s">
        <v>26</v>
      </c>
      <c r="H83" s="42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85</v>
      </c>
      <c r="C84" s="19" t="s">
        <v>20</v>
      </c>
      <c r="D84" s="19"/>
      <c r="E84" s="19" t="s">
        <v>25</v>
      </c>
      <c r="F84" s="87"/>
      <c r="G84" s="21" t="s">
        <v>22</v>
      </c>
      <c r="H84" s="21"/>
      <c r="I84" s="67"/>
      <c r="J84" s="67"/>
      <c r="K84" s="68" t="n">
        <f aca="false">L84+M84</f>
        <v>0</v>
      </c>
      <c r="L84" s="68"/>
      <c r="M84" s="68"/>
      <c r="N84" s="67"/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88"/>
      <c r="G85" s="27" t="s">
        <v>26</v>
      </c>
      <c r="H85" s="27"/>
      <c r="I85" s="58"/>
      <c r="J85" s="58"/>
      <c r="K85" s="59" t="n">
        <f aca="false">L85+M85</f>
        <v>0</v>
      </c>
      <c r="L85" s="59"/>
      <c r="M85" s="59"/>
      <c r="N85" s="58"/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17"/>
      <c r="B86" s="73" t="s">
        <v>86</v>
      </c>
      <c r="C86" s="74" t="s">
        <v>33</v>
      </c>
      <c r="D86" s="74" t="s">
        <v>87</v>
      </c>
      <c r="E86" s="74" t="s">
        <v>88</v>
      </c>
      <c r="F86" s="20"/>
      <c r="G86" s="21" t="s">
        <v>22</v>
      </c>
      <c r="H86" s="21" t="n">
        <v>8</v>
      </c>
      <c r="I86" s="67" t="n">
        <v>2</v>
      </c>
      <c r="J86" s="67" t="n">
        <v>2</v>
      </c>
      <c r="K86" s="68" t="n">
        <f aca="false">L86+M86</f>
        <v>0</v>
      </c>
      <c r="L86" s="68"/>
      <c r="M86" s="68"/>
      <c r="N86" s="67"/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73"/>
      <c r="C87" s="73"/>
      <c r="D87" s="73"/>
      <c r="E87" s="73"/>
      <c r="F87" s="42"/>
      <c r="G87" s="43" t="s">
        <v>23</v>
      </c>
      <c r="H87" s="42" t="n">
        <v>3</v>
      </c>
      <c r="I87" s="64" t="n">
        <v>1</v>
      </c>
      <c r="J87" s="64" t="n">
        <v>1</v>
      </c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89</v>
      </c>
      <c r="C88" s="19" t="s">
        <v>20</v>
      </c>
      <c r="D88" s="19" t="s">
        <v>90</v>
      </c>
      <c r="E88" s="19" t="s">
        <v>42</v>
      </c>
      <c r="F88" s="20"/>
      <c r="G88" s="21" t="s">
        <v>22</v>
      </c>
      <c r="H88" s="22" t="n">
        <v>3</v>
      </c>
      <c r="I88" s="67"/>
      <c r="J88" s="67"/>
      <c r="K88" s="68" t="n">
        <f aca="false">L88+M88</f>
        <v>0</v>
      </c>
      <c r="L88" s="68"/>
      <c r="M88" s="68"/>
      <c r="N88" s="67"/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/>
      <c r="G89" s="27" t="s">
        <v>23</v>
      </c>
      <c r="H89" s="26"/>
      <c r="I89" s="58"/>
      <c r="J89" s="58"/>
      <c r="K89" s="59" t="n">
        <f aca="false">L89+M89</f>
        <v>0</v>
      </c>
      <c r="L89" s="59"/>
      <c r="M89" s="59"/>
      <c r="N89" s="58"/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.75" hidden="false" customHeight="true" outlineLevel="0" collapsed="false">
      <c r="A90" s="33"/>
      <c r="B90" s="34" t="s">
        <v>91</v>
      </c>
      <c r="C90" s="35" t="s">
        <v>33</v>
      </c>
      <c r="D90" s="35" t="s">
        <v>92</v>
      </c>
      <c r="E90" s="35" t="s">
        <v>25</v>
      </c>
      <c r="F90" s="36"/>
      <c r="G90" s="21" t="s">
        <v>22</v>
      </c>
      <c r="H90" s="38" t="n">
        <v>2</v>
      </c>
      <c r="I90" s="61"/>
      <c r="J90" s="61"/>
      <c r="K90" s="62" t="n">
        <f aca="false">L90+M90</f>
        <v>0</v>
      </c>
      <c r="L90" s="62"/>
      <c r="M90" s="62"/>
      <c r="N90" s="61"/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89"/>
      <c r="G91" s="90" t="s">
        <v>23</v>
      </c>
      <c r="H91" s="89"/>
      <c r="I91" s="91"/>
      <c r="J91" s="91"/>
      <c r="K91" s="92" t="n">
        <f aca="false">L91+M91</f>
        <v>0</v>
      </c>
      <c r="L91" s="92"/>
      <c r="M91" s="92"/>
      <c r="N91" s="91"/>
      <c r="O91" s="92" t="n">
        <f aca="false">P91+Q91</f>
        <v>0</v>
      </c>
      <c r="P91" s="92"/>
      <c r="Q91" s="93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/>
      <c r="G92" s="43" t="s">
        <v>26</v>
      </c>
      <c r="H92" s="42" t="n">
        <v>1</v>
      </c>
      <c r="I92" s="64"/>
      <c r="J92" s="64"/>
      <c r="K92" s="65" t="n">
        <f aca="false">L92+M92</f>
        <v>0</v>
      </c>
      <c r="L92" s="65"/>
      <c r="M92" s="65"/>
      <c r="N92" s="64"/>
      <c r="O92" s="65" t="n">
        <f aca="false">P92+Q92</f>
        <v>0</v>
      </c>
      <c r="P92" s="65"/>
      <c r="Q92" s="6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18" t="s">
        <v>93</v>
      </c>
      <c r="C93" s="19" t="s">
        <v>20</v>
      </c>
      <c r="D93" s="49"/>
      <c r="E93" s="19" t="s">
        <v>50</v>
      </c>
      <c r="F93" s="87"/>
      <c r="G93" s="21" t="s">
        <v>22</v>
      </c>
      <c r="H93" s="22"/>
      <c r="I93" s="67"/>
      <c r="J93" s="67"/>
      <c r="K93" s="68" t="n">
        <f aca="false">L93+M93</f>
        <v>0</v>
      </c>
      <c r="L93" s="68"/>
      <c r="M93" s="68"/>
      <c r="N93" s="67"/>
      <c r="O93" s="68" t="n">
        <f aca="false">P93+Q93</f>
        <v>0</v>
      </c>
      <c r="P93" s="68"/>
      <c r="Q93" s="69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8"/>
      <c r="G94" s="27" t="s">
        <v>26</v>
      </c>
      <c r="H94" s="26" t="n">
        <v>2</v>
      </c>
      <c r="I94" s="58"/>
      <c r="J94" s="58"/>
      <c r="K94" s="59" t="n">
        <f aca="false">L94+M94</f>
        <v>0</v>
      </c>
      <c r="L94" s="59"/>
      <c r="M94" s="59"/>
      <c r="N94" s="58"/>
      <c r="O94" s="59" t="n">
        <f aca="false">P94+Q94</f>
        <v>0</v>
      </c>
      <c r="P94" s="59"/>
      <c r="Q94" s="60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" hidden="false" customHeight="true" outlineLevel="0" collapsed="false">
      <c r="A95" s="54"/>
      <c r="B95" s="55" t="s">
        <v>94</v>
      </c>
      <c r="C95" s="56" t="s">
        <v>20</v>
      </c>
      <c r="D95" s="56"/>
      <c r="E95" s="56" t="s">
        <v>52</v>
      </c>
      <c r="F95" s="36"/>
      <c r="G95" s="37" t="s">
        <v>22</v>
      </c>
      <c r="H95" s="38" t="n">
        <v>3</v>
      </c>
      <c r="I95" s="61"/>
      <c r="J95" s="61"/>
      <c r="K95" s="62" t="n">
        <f aca="false">L95+M95</f>
        <v>0</v>
      </c>
      <c r="L95" s="62"/>
      <c r="M95" s="62"/>
      <c r="N95" s="61" t="n">
        <v>1</v>
      </c>
      <c r="O95" s="62" t="n">
        <f aca="false">P95+Q95</f>
        <v>0</v>
      </c>
      <c r="P95" s="62"/>
      <c r="Q95" s="63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42"/>
      <c r="G96" s="43" t="s">
        <v>26</v>
      </c>
      <c r="H96" s="26" t="n">
        <v>2</v>
      </c>
      <c r="I96" s="58"/>
      <c r="J96" s="58"/>
      <c r="K96" s="59" t="n">
        <f aca="false">L96+M96</f>
        <v>0</v>
      </c>
      <c r="L96" s="59"/>
      <c r="M96" s="59"/>
      <c r="N96" s="58"/>
      <c r="O96" s="59" t="n">
        <f aca="false">P96+Q96</f>
        <v>0</v>
      </c>
      <c r="P96" s="59"/>
      <c r="Q96" s="60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 t="s">
        <v>95</v>
      </c>
      <c r="C97" s="35" t="s">
        <v>33</v>
      </c>
      <c r="D97" s="35" t="s">
        <v>96</v>
      </c>
      <c r="E97" s="35" t="s">
        <v>88</v>
      </c>
      <c r="F97" s="22"/>
      <c r="G97" s="21" t="s">
        <v>22</v>
      </c>
      <c r="H97" s="38" t="n">
        <v>4</v>
      </c>
      <c r="I97" s="61"/>
      <c r="J97" s="38"/>
      <c r="K97" s="62" t="n">
        <f aca="false">L97+M97</f>
        <v>0</v>
      </c>
      <c r="L97" s="62"/>
      <c r="M97" s="62"/>
      <c r="N97" s="61"/>
      <c r="O97" s="62" t="n">
        <f aca="false">P97+Q97</f>
        <v>0</v>
      </c>
      <c r="P97" s="62"/>
      <c r="Q97" s="6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23</v>
      </c>
      <c r="H98" s="42" t="n">
        <v>4</v>
      </c>
      <c r="I98" s="64"/>
      <c r="J98" s="64"/>
      <c r="K98" s="65" t="n">
        <f aca="false">L98+M98</f>
        <v>0</v>
      </c>
      <c r="L98" s="65"/>
      <c r="M98" s="65"/>
      <c r="N98" s="64"/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72"/>
      <c r="B99" s="73" t="s">
        <v>97</v>
      </c>
      <c r="C99" s="74" t="s">
        <v>20</v>
      </c>
      <c r="D99" s="74"/>
      <c r="E99" s="74" t="s">
        <v>98</v>
      </c>
      <c r="F99" s="20"/>
      <c r="G99" s="21" t="s">
        <v>22</v>
      </c>
      <c r="H99" s="22" t="n">
        <v>1</v>
      </c>
      <c r="I99" s="67"/>
      <c r="J99" s="67"/>
      <c r="K99" s="68" t="n">
        <f aca="false">L99+M99</f>
        <v>0</v>
      </c>
      <c r="L99" s="68"/>
      <c r="M99" s="68"/>
      <c r="N99" s="67"/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/>
      <c r="G100" s="43" t="s">
        <v>23</v>
      </c>
      <c r="H100" s="42" t="n">
        <v>1</v>
      </c>
      <c r="I100" s="64"/>
      <c r="J100" s="64"/>
      <c r="K100" s="65" t="n">
        <f aca="false">L100+M100</f>
        <v>0</v>
      </c>
      <c r="L100" s="65"/>
      <c r="M100" s="65"/>
      <c r="N100" s="64"/>
      <c r="O100" s="65" t="n">
        <f aca="false">P100+Q100</f>
        <v>0</v>
      </c>
      <c r="P100" s="65"/>
      <c r="Q100" s="6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 t="s">
        <v>99</v>
      </c>
      <c r="C101" s="19" t="s">
        <v>33</v>
      </c>
      <c r="D101" s="19" t="s">
        <v>100</v>
      </c>
      <c r="E101" s="19" t="s">
        <v>101</v>
      </c>
      <c r="F101" s="20"/>
      <c r="G101" s="21" t="s">
        <v>22</v>
      </c>
      <c r="H101" s="22" t="n">
        <v>1</v>
      </c>
      <c r="I101" s="67" t="n">
        <v>1</v>
      </c>
      <c r="J101" s="67" t="n">
        <v>1</v>
      </c>
      <c r="K101" s="68" t="n">
        <f aca="false">L101+M101</f>
        <v>0</v>
      </c>
      <c r="L101" s="68"/>
      <c r="M101" s="68"/>
      <c r="N101" s="67" t="n">
        <v>6</v>
      </c>
      <c r="O101" s="68" t="n">
        <f aca="false">P101+Q101</f>
        <v>0</v>
      </c>
      <c r="P101" s="68"/>
      <c r="Q101" s="69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/>
      <c r="G102" s="81" t="s">
        <v>26</v>
      </c>
      <c r="H102" s="81" t="n">
        <v>1</v>
      </c>
      <c r="I102" s="82"/>
      <c r="J102" s="82"/>
      <c r="K102" s="83" t="n">
        <f aca="false">L102+M102</f>
        <v>0</v>
      </c>
      <c r="L102" s="83"/>
      <c r="M102" s="83"/>
      <c r="N102" s="82" t="n">
        <v>1</v>
      </c>
      <c r="O102" s="83" t="n">
        <f aca="false">P102+Q102</f>
        <v>0</v>
      </c>
      <c r="P102" s="83"/>
      <c r="Q102" s="84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/>
      <c r="G103" s="27" t="s">
        <v>23</v>
      </c>
      <c r="H103" s="27"/>
      <c r="I103" s="58"/>
      <c r="J103" s="58"/>
      <c r="K103" s="59" t="n">
        <f aca="false">L103+M103</f>
        <v>0</v>
      </c>
      <c r="L103" s="59"/>
      <c r="M103" s="59"/>
      <c r="N103" s="58"/>
      <c r="O103" s="59" t="n">
        <f aca="false">P103+Q103</f>
        <v>0</v>
      </c>
      <c r="P103" s="59"/>
      <c r="Q103" s="60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 t="s">
        <v>102</v>
      </c>
      <c r="C104" s="35" t="s">
        <v>20</v>
      </c>
      <c r="D104" s="35"/>
      <c r="E104" s="35" t="s">
        <v>25</v>
      </c>
      <c r="F104" s="36"/>
      <c r="G104" s="21" t="s">
        <v>22</v>
      </c>
      <c r="H104" s="37" t="n">
        <v>1</v>
      </c>
      <c r="I104" s="61"/>
      <c r="J104" s="61"/>
      <c r="K104" s="62" t="n">
        <f aca="false">L104+M104</f>
        <v>0</v>
      </c>
      <c r="L104" s="62"/>
      <c r="M104" s="62"/>
      <c r="N104" s="61"/>
      <c r="O104" s="62" t="n">
        <f aca="false">P104+Q104</f>
        <v>0</v>
      </c>
      <c r="P104" s="62"/>
      <c r="Q104" s="63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43" t="s">
        <v>26</v>
      </c>
      <c r="H105" s="43" t="n">
        <v>2</v>
      </c>
      <c r="I105" s="64"/>
      <c r="J105" s="64"/>
      <c r="K105" s="65" t="n">
        <f aca="false">L105+M105</f>
        <v>0</v>
      </c>
      <c r="L105" s="65"/>
      <c r="M105" s="65"/>
      <c r="N105" s="64"/>
      <c r="O105" s="65" t="n">
        <f aca="false">P105+Q105</f>
        <v>0</v>
      </c>
      <c r="P105" s="65"/>
      <c r="Q105" s="6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" hidden="false" customHeight="true" outlineLevel="0" collapsed="false">
      <c r="A106" s="17"/>
      <c r="B106" s="18" t="s">
        <v>103</v>
      </c>
      <c r="C106" s="19" t="s">
        <v>20</v>
      </c>
      <c r="D106" s="19"/>
      <c r="E106" s="19" t="s">
        <v>52</v>
      </c>
      <c r="F106" s="20"/>
      <c r="G106" s="21" t="s">
        <v>22</v>
      </c>
      <c r="H106" s="22"/>
      <c r="I106" s="67"/>
      <c r="J106" s="67"/>
      <c r="K106" s="68" t="n">
        <f aca="false">L106+M106</f>
        <v>0</v>
      </c>
      <c r="L106" s="68"/>
      <c r="M106" s="68"/>
      <c r="N106" s="67"/>
      <c r="O106" s="68" t="n">
        <f aca="false">P106+Q106</f>
        <v>0</v>
      </c>
      <c r="P106" s="68"/>
      <c r="Q106" s="69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26"/>
      <c r="G107" s="27" t="s">
        <v>26</v>
      </c>
      <c r="H107" s="26" t="n">
        <v>3</v>
      </c>
      <c r="I107" s="58"/>
      <c r="J107" s="58"/>
      <c r="K107" s="59" t="n">
        <f aca="false">L107+M107</f>
        <v>0</v>
      </c>
      <c r="L107" s="59"/>
      <c r="M107" s="59"/>
      <c r="N107" s="58"/>
      <c r="O107" s="59" t="n">
        <f aca="false">P107+Q107</f>
        <v>0</v>
      </c>
      <c r="P107" s="59"/>
      <c r="Q107" s="60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" hidden="false" customHeight="true" outlineLevel="0" collapsed="false">
      <c r="A108" s="54"/>
      <c r="B108" s="55" t="s">
        <v>104</v>
      </c>
      <c r="C108" s="56" t="s">
        <v>20</v>
      </c>
      <c r="D108" s="56"/>
      <c r="E108" s="56" t="s">
        <v>25</v>
      </c>
      <c r="F108" s="22"/>
      <c r="G108" s="21" t="s">
        <v>22</v>
      </c>
      <c r="H108" s="38"/>
      <c r="I108" s="61"/>
      <c r="J108" s="61"/>
      <c r="K108" s="62" t="n">
        <f aca="false">L108+M108</f>
        <v>0</v>
      </c>
      <c r="L108" s="62"/>
      <c r="M108" s="62"/>
      <c r="N108" s="61"/>
      <c r="O108" s="62" t="n">
        <f aca="false">P108+Q108</f>
        <v>0</v>
      </c>
      <c r="P108" s="62"/>
      <c r="Q108" s="6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57"/>
      <c r="G109" s="27" t="s">
        <v>26</v>
      </c>
      <c r="H109" s="26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33"/>
      <c r="B110" s="34" t="s">
        <v>105</v>
      </c>
      <c r="C110" s="35" t="s">
        <v>33</v>
      </c>
      <c r="D110" s="35" t="s">
        <v>106</v>
      </c>
      <c r="E110" s="35" t="s">
        <v>107</v>
      </c>
      <c r="F110" s="36"/>
      <c r="G110" s="21" t="s">
        <v>22</v>
      </c>
      <c r="H110" s="38"/>
      <c r="I110" s="61"/>
      <c r="J110" s="61"/>
      <c r="K110" s="62" t="n">
        <f aca="false">L110+M110</f>
        <v>0</v>
      </c>
      <c r="L110" s="62"/>
      <c r="M110" s="62"/>
      <c r="N110" s="61" t="n">
        <v>2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42"/>
      <c r="G111" s="43" t="s">
        <v>26</v>
      </c>
      <c r="H111" s="42"/>
      <c r="I111" s="64"/>
      <c r="J111" s="64"/>
      <c r="K111" s="65" t="n">
        <f aca="false">L111+M111</f>
        <v>0</v>
      </c>
      <c r="L111" s="65"/>
      <c r="M111" s="65"/>
      <c r="N111" s="64" t="n">
        <v>3</v>
      </c>
      <c r="O111" s="65" t="n">
        <f aca="false">P111+Q111</f>
        <v>0</v>
      </c>
      <c r="P111" s="65"/>
      <c r="Q111" s="6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72"/>
      <c r="B112" s="73" t="s">
        <v>108</v>
      </c>
      <c r="C112" s="74" t="s">
        <v>33</v>
      </c>
      <c r="D112" s="74" t="s">
        <v>109</v>
      </c>
      <c r="E112" s="74" t="s">
        <v>25</v>
      </c>
      <c r="F112" s="20"/>
      <c r="G112" s="21" t="s">
        <v>22</v>
      </c>
      <c r="H112" s="22" t="n">
        <v>2</v>
      </c>
      <c r="I112" s="67" t="n">
        <v>2</v>
      </c>
      <c r="J112" s="67" t="n">
        <v>2</v>
      </c>
      <c r="K112" s="68" t="n">
        <f aca="false">L112+M112</f>
        <v>0</v>
      </c>
      <c r="L112" s="68"/>
      <c r="M112" s="68"/>
      <c r="N112" s="67" t="n">
        <v>7</v>
      </c>
      <c r="O112" s="68" t="n">
        <f aca="false">P112+Q112</f>
        <v>0</v>
      </c>
      <c r="P112" s="68"/>
      <c r="Q112" s="69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72"/>
      <c r="B113" s="73"/>
      <c r="C113" s="73"/>
      <c r="D113" s="73"/>
      <c r="E113" s="73"/>
      <c r="F113" s="42"/>
      <c r="G113" s="43" t="s">
        <v>26</v>
      </c>
      <c r="H113" s="42" t="n">
        <v>1</v>
      </c>
      <c r="I113" s="64"/>
      <c r="J113" s="64"/>
      <c r="K113" s="65" t="n">
        <f aca="false">L113+M113</f>
        <v>0</v>
      </c>
      <c r="L113" s="65"/>
      <c r="M113" s="65"/>
      <c r="N113" s="64" t="n">
        <v>2</v>
      </c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110</v>
      </c>
      <c r="C114" s="19" t="s">
        <v>33</v>
      </c>
      <c r="D114" s="19" t="s">
        <v>111</v>
      </c>
      <c r="E114" s="19" t="s">
        <v>25</v>
      </c>
      <c r="F114" s="20"/>
      <c r="G114" s="21" t="s">
        <v>22</v>
      </c>
      <c r="H114" s="22" t="n">
        <v>2</v>
      </c>
      <c r="I114" s="67" t="n">
        <v>1</v>
      </c>
      <c r="J114" s="22" t="n">
        <v>1</v>
      </c>
      <c r="K114" s="68" t="n">
        <f aca="false">L114+M114</f>
        <v>0</v>
      </c>
      <c r="L114" s="68"/>
      <c r="M114" s="68"/>
      <c r="N114" s="67" t="n">
        <v>5</v>
      </c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26</v>
      </c>
      <c r="H115" s="26"/>
      <c r="I115" s="58"/>
      <c r="J115" s="58"/>
      <c r="K115" s="59" t="n">
        <f aca="false">L115+M115</f>
        <v>0</v>
      </c>
      <c r="L115" s="59"/>
      <c r="M115" s="59"/>
      <c r="N115" s="58" t="n">
        <v>2</v>
      </c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33"/>
      <c r="B116" s="34" t="s">
        <v>112</v>
      </c>
      <c r="C116" s="35" t="s">
        <v>20</v>
      </c>
      <c r="D116" s="35"/>
      <c r="E116" s="35" t="s">
        <v>25</v>
      </c>
      <c r="F116" s="36"/>
      <c r="G116" s="21" t="s">
        <v>22</v>
      </c>
      <c r="H116" s="38" t="n">
        <v>1</v>
      </c>
      <c r="I116" s="61" t="n">
        <v>1</v>
      </c>
      <c r="J116" s="61" t="n">
        <v>1</v>
      </c>
      <c r="K116" s="94" t="n">
        <f aca="false">L116+M116</f>
        <v>0</v>
      </c>
      <c r="L116" s="94"/>
      <c r="M116" s="62"/>
      <c r="N116" s="61"/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26"/>
      <c r="G117" s="27" t="s">
        <v>26</v>
      </c>
      <c r="H117" s="42" t="n">
        <v>1</v>
      </c>
      <c r="I117" s="64"/>
      <c r="J117" s="64"/>
      <c r="K117" s="65" t="n">
        <f aca="false">L117+M117</f>
        <v>0</v>
      </c>
      <c r="L117" s="65"/>
      <c r="M117" s="65"/>
      <c r="N117" s="64"/>
      <c r="O117" s="65" t="n">
        <f aca="false">P117+Q117</f>
        <v>0</v>
      </c>
      <c r="P117" s="65"/>
      <c r="Q117" s="6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" hidden="false" customHeight="true" outlineLevel="0" collapsed="false">
      <c r="A118" s="17"/>
      <c r="B118" s="18" t="s">
        <v>113</v>
      </c>
      <c r="C118" s="19" t="s">
        <v>20</v>
      </c>
      <c r="D118" s="19"/>
      <c r="E118" s="19" t="s">
        <v>31</v>
      </c>
      <c r="F118" s="36"/>
      <c r="G118" s="21" t="s">
        <v>22</v>
      </c>
      <c r="H118" s="22" t="n">
        <v>3</v>
      </c>
      <c r="I118" s="67"/>
      <c r="J118" s="67"/>
      <c r="K118" s="68" t="n">
        <f aca="false">L118+M118</f>
        <v>0</v>
      </c>
      <c r="L118" s="68"/>
      <c r="M118" s="68"/>
      <c r="N118" s="67"/>
      <c r="O118" s="68" t="n">
        <f aca="false">P118+Q118</f>
        <v>0</v>
      </c>
      <c r="P118" s="68"/>
      <c r="Q118" s="69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57"/>
      <c r="G119" s="27" t="s">
        <v>26</v>
      </c>
      <c r="H119" s="26"/>
      <c r="I119" s="58"/>
      <c r="J119" s="58"/>
      <c r="K119" s="59" t="n">
        <f aca="false">L119+M119</f>
        <v>0</v>
      </c>
      <c r="L119" s="59"/>
      <c r="M119" s="59"/>
      <c r="N119" s="58"/>
      <c r="O119" s="59" t="n">
        <f aca="false">P119+Q119</f>
        <v>0</v>
      </c>
      <c r="P119" s="59"/>
      <c r="Q119" s="60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" hidden="false" customHeight="true" outlineLevel="0" collapsed="false">
      <c r="A120" s="33"/>
      <c r="B120" s="34" t="s">
        <v>114</v>
      </c>
      <c r="C120" s="35" t="s">
        <v>20</v>
      </c>
      <c r="D120" s="95"/>
      <c r="E120" s="35" t="s">
        <v>25</v>
      </c>
      <c r="F120" s="71"/>
      <c r="G120" s="21" t="s">
        <v>22</v>
      </c>
      <c r="H120" s="38"/>
      <c r="I120" s="61"/>
      <c r="J120" s="61"/>
      <c r="K120" s="62" t="n">
        <f aca="false">L120+M120</f>
        <v>0</v>
      </c>
      <c r="L120" s="62"/>
      <c r="M120" s="62"/>
      <c r="N120" s="61"/>
      <c r="O120" s="62" t="n">
        <f aca="false">P120+Q120</f>
        <v>0</v>
      </c>
      <c r="P120" s="62"/>
      <c r="Q120" s="63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42"/>
      <c r="G121" s="43" t="s">
        <v>26</v>
      </c>
      <c r="H121" s="42"/>
      <c r="I121" s="64"/>
      <c r="J121" s="64"/>
      <c r="K121" s="65" t="n">
        <f aca="false">L121+M121</f>
        <v>0</v>
      </c>
      <c r="L121" s="65"/>
      <c r="M121" s="65"/>
      <c r="N121" s="64"/>
      <c r="O121" s="65" t="n">
        <f aca="false">P121+Q121</f>
        <v>0</v>
      </c>
      <c r="P121" s="65"/>
      <c r="Q121" s="6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 t="s">
        <v>115</v>
      </c>
      <c r="C122" s="19" t="s">
        <v>20</v>
      </c>
      <c r="D122" s="19"/>
      <c r="E122" s="19" t="s">
        <v>116</v>
      </c>
      <c r="F122" s="20"/>
      <c r="G122" s="21" t="s">
        <v>22</v>
      </c>
      <c r="H122" s="22" t="n">
        <v>1</v>
      </c>
      <c r="I122" s="67"/>
      <c r="J122" s="67"/>
      <c r="K122" s="68" t="n">
        <f aca="false">L122+M122</f>
        <v>0</v>
      </c>
      <c r="L122" s="68"/>
      <c r="M122" s="68"/>
      <c r="N122" s="67"/>
      <c r="O122" s="68" t="n">
        <f aca="false">P122+Q122</f>
        <v>0</v>
      </c>
      <c r="P122" s="68"/>
      <c r="Q122" s="69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/>
      <c r="G123" s="27" t="s">
        <v>26</v>
      </c>
      <c r="H123" s="26" t="n">
        <v>1</v>
      </c>
      <c r="I123" s="58"/>
      <c r="J123" s="58"/>
      <c r="K123" s="59" t="n">
        <f aca="false">L123+M123</f>
        <v>0</v>
      </c>
      <c r="L123" s="59"/>
      <c r="M123" s="59"/>
      <c r="N123" s="58"/>
      <c r="O123" s="59" t="n">
        <f aca="false">P123+Q123</f>
        <v>0</v>
      </c>
      <c r="P123" s="59"/>
      <c r="Q123" s="60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" hidden="false" customHeight="true" outlineLevel="0" collapsed="false">
      <c r="A124" s="33"/>
      <c r="B124" s="34" t="s">
        <v>117</v>
      </c>
      <c r="C124" s="35" t="s">
        <v>33</v>
      </c>
      <c r="D124" s="35" t="s">
        <v>118</v>
      </c>
      <c r="E124" s="35" t="s">
        <v>25</v>
      </c>
      <c r="F124" s="89"/>
      <c r="G124" s="21" t="s">
        <v>22</v>
      </c>
      <c r="H124" s="38"/>
      <c r="I124" s="61"/>
      <c r="J124" s="61"/>
      <c r="K124" s="62" t="n">
        <f aca="false">L124+M124</f>
        <v>0</v>
      </c>
      <c r="L124" s="62"/>
      <c r="M124" s="62"/>
      <c r="N124" s="61"/>
      <c r="O124" s="62" t="n">
        <f aca="false">P124+Q124</f>
        <v>0</v>
      </c>
      <c r="P124" s="62"/>
      <c r="Q124" s="63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" hidden="false" customHeight="false" outlineLevel="0" collapsed="false">
      <c r="A125" s="33"/>
      <c r="B125" s="34"/>
      <c r="C125" s="34"/>
      <c r="D125" s="34"/>
      <c r="E125" s="34"/>
      <c r="F125" s="42"/>
      <c r="G125" s="37" t="s">
        <v>23</v>
      </c>
      <c r="H125" s="38"/>
      <c r="I125" s="61"/>
      <c r="J125" s="61"/>
      <c r="K125" s="62" t="n">
        <f aca="false">L125+M125</f>
        <v>0</v>
      </c>
      <c r="L125" s="62"/>
      <c r="M125" s="62"/>
      <c r="N125" s="61"/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" hidden="false" customHeight="false" outlineLevel="0" collapsed="false">
      <c r="A126" s="33"/>
      <c r="B126" s="34"/>
      <c r="C126" s="34"/>
      <c r="D126" s="34"/>
      <c r="E126" s="34"/>
      <c r="F126" s="42"/>
      <c r="G126" s="43" t="s">
        <v>26</v>
      </c>
      <c r="H126" s="42"/>
      <c r="I126" s="64"/>
      <c r="J126" s="64"/>
      <c r="K126" s="65" t="n">
        <f aca="false">L126+M126</f>
        <v>0</v>
      </c>
      <c r="L126" s="65"/>
      <c r="M126" s="65"/>
      <c r="N126" s="64"/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119</v>
      </c>
      <c r="C127" s="19" t="s">
        <v>20</v>
      </c>
      <c r="D127" s="19"/>
      <c r="E127" s="19" t="s">
        <v>25</v>
      </c>
      <c r="F127" s="20"/>
      <c r="G127" s="21" t="s">
        <v>22</v>
      </c>
      <c r="H127" s="22"/>
      <c r="I127" s="67"/>
      <c r="J127" s="67"/>
      <c r="K127" s="68" t="n">
        <f aca="false">L127+M127</f>
        <v>0</v>
      </c>
      <c r="L127" s="68"/>
      <c r="M127" s="68"/>
      <c r="N127" s="67"/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26"/>
      <c r="G128" s="27" t="s">
        <v>26</v>
      </c>
      <c r="H128" s="26"/>
      <c r="I128" s="58"/>
      <c r="J128" s="58"/>
      <c r="K128" s="59" t="n">
        <f aca="false">L128+M128</f>
        <v>0</v>
      </c>
      <c r="L128" s="59"/>
      <c r="M128" s="59"/>
      <c r="N128" s="58"/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54"/>
      <c r="B129" s="55" t="s">
        <v>120</v>
      </c>
      <c r="C129" s="56" t="s">
        <v>20</v>
      </c>
      <c r="D129" s="56"/>
      <c r="E129" s="56" t="s">
        <v>25</v>
      </c>
      <c r="F129" s="36"/>
      <c r="G129" s="21" t="s">
        <v>22</v>
      </c>
      <c r="H129" s="38"/>
      <c r="I129" s="61"/>
      <c r="J129" s="61"/>
      <c r="K129" s="62" t="n">
        <f aca="false">L129+M129</f>
        <v>0</v>
      </c>
      <c r="L129" s="62"/>
      <c r="M129" s="62"/>
      <c r="N129" s="61" t="n">
        <v>3</v>
      </c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57"/>
      <c r="G130" s="27" t="s">
        <v>26</v>
      </c>
      <c r="H130" s="26"/>
      <c r="I130" s="58"/>
      <c r="J130" s="58"/>
      <c r="K130" s="59" t="n">
        <f aca="false">L130+M130</f>
        <v>0</v>
      </c>
      <c r="L130" s="59"/>
      <c r="M130" s="59"/>
      <c r="N130" s="58"/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33"/>
      <c r="B131" s="34" t="s">
        <v>121</v>
      </c>
      <c r="C131" s="35" t="s">
        <v>20</v>
      </c>
      <c r="D131" s="35"/>
      <c r="E131" s="35" t="s">
        <v>25</v>
      </c>
      <c r="F131" s="36"/>
      <c r="G131" s="21" t="s">
        <v>22</v>
      </c>
      <c r="H131" s="38"/>
      <c r="I131" s="61"/>
      <c r="J131" s="61"/>
      <c r="K131" s="62" t="n">
        <f aca="false">L131+M131</f>
        <v>0</v>
      </c>
      <c r="L131" s="62"/>
      <c r="M131" s="62"/>
      <c r="N131" s="61" t="n">
        <v>1</v>
      </c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/>
      <c r="G132" s="43" t="s">
        <v>26</v>
      </c>
      <c r="H132" s="42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122</v>
      </c>
      <c r="C133" s="19" t="s">
        <v>20</v>
      </c>
      <c r="D133" s="19"/>
      <c r="E133" s="19" t="s">
        <v>116</v>
      </c>
      <c r="F133" s="20"/>
      <c r="G133" s="21" t="s">
        <v>22</v>
      </c>
      <c r="H133" s="22" t="n">
        <v>5</v>
      </c>
      <c r="I133" s="67" t="n">
        <v>3</v>
      </c>
      <c r="J133" s="67" t="n">
        <v>3</v>
      </c>
      <c r="K133" s="68" t="n">
        <f aca="false">L133+M133</f>
        <v>0</v>
      </c>
      <c r="L133" s="68"/>
      <c r="M133" s="68"/>
      <c r="N133" s="67" t="n">
        <v>6</v>
      </c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26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33"/>
      <c r="B135" s="34" t="s">
        <v>123</v>
      </c>
      <c r="C135" s="35" t="s">
        <v>20</v>
      </c>
      <c r="D135" s="35"/>
      <c r="E135" s="35" t="s">
        <v>25</v>
      </c>
      <c r="F135" s="36"/>
      <c r="G135" s="21" t="s">
        <v>22</v>
      </c>
      <c r="H135" s="38" t="n">
        <v>2</v>
      </c>
      <c r="I135" s="61"/>
      <c r="J135" s="61"/>
      <c r="K135" s="62" t="n">
        <f aca="false">L135+M135</f>
        <v>0</v>
      </c>
      <c r="L135" s="62"/>
      <c r="M135" s="62"/>
      <c r="N135" s="61" t="n">
        <v>1</v>
      </c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/>
      <c r="G136" s="43" t="s">
        <v>26</v>
      </c>
      <c r="H136" s="42"/>
      <c r="I136" s="64"/>
      <c r="J136" s="64"/>
      <c r="K136" s="65" t="n">
        <f aca="false">L136+M136</f>
        <v>0</v>
      </c>
      <c r="L136" s="65"/>
      <c r="M136" s="65"/>
      <c r="N136" s="64"/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124</v>
      </c>
      <c r="C137" s="19" t="s">
        <v>20</v>
      </c>
      <c r="D137" s="19"/>
      <c r="E137" s="19" t="s">
        <v>88</v>
      </c>
      <c r="F137" s="20"/>
      <c r="G137" s="21" t="s">
        <v>22</v>
      </c>
      <c r="H137" s="22" t="n">
        <v>2</v>
      </c>
      <c r="I137" s="67"/>
      <c r="J137" s="67"/>
      <c r="K137" s="68" t="n">
        <f aca="false">L137+M137</f>
        <v>0</v>
      </c>
      <c r="L137" s="68"/>
      <c r="M137" s="68"/>
      <c r="N137" s="67"/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/>
      <c r="G138" s="27" t="s">
        <v>23</v>
      </c>
      <c r="H138" s="26"/>
      <c r="I138" s="58" t="n">
        <v>1</v>
      </c>
      <c r="J138" s="58" t="n">
        <v>1</v>
      </c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125</v>
      </c>
      <c r="C139" s="35" t="s">
        <v>33</v>
      </c>
      <c r="D139" s="35" t="s">
        <v>126</v>
      </c>
      <c r="E139" s="35" t="s">
        <v>127</v>
      </c>
      <c r="F139" s="36"/>
      <c r="G139" s="21" t="s">
        <v>22</v>
      </c>
      <c r="H139" s="38" t="n">
        <v>2</v>
      </c>
      <c r="I139" s="61"/>
      <c r="J139" s="61"/>
      <c r="K139" s="62" t="n">
        <f aca="false">L139+M139</f>
        <v>0</v>
      </c>
      <c r="L139" s="62"/>
      <c r="M139" s="62"/>
      <c r="N139" s="61" t="n">
        <v>4</v>
      </c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/>
      <c r="G140" s="43" t="s">
        <v>23</v>
      </c>
      <c r="H140" s="42" t="n">
        <v>11</v>
      </c>
      <c r="I140" s="64" t="n">
        <v>2</v>
      </c>
      <c r="J140" s="64" t="n">
        <v>2</v>
      </c>
      <c r="K140" s="65" t="n">
        <f aca="false">L140+M140</f>
        <v>0</v>
      </c>
      <c r="L140" s="65"/>
      <c r="M140" s="65"/>
      <c r="N140" s="64" t="n">
        <v>1</v>
      </c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128</v>
      </c>
      <c r="C141" s="19" t="s">
        <v>20</v>
      </c>
      <c r="D141" s="19"/>
      <c r="E141" s="19" t="s">
        <v>25</v>
      </c>
      <c r="F141" s="20"/>
      <c r="G141" s="21" t="s">
        <v>22</v>
      </c>
      <c r="H141" s="22" t="n">
        <v>5</v>
      </c>
      <c r="I141" s="67"/>
      <c r="J141" s="67"/>
      <c r="K141" s="68" t="n">
        <f aca="false">L141+M141</f>
        <v>0</v>
      </c>
      <c r="L141" s="68"/>
      <c r="M141" s="68"/>
      <c r="N141" s="67" t="n">
        <v>5</v>
      </c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26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.75" hidden="false" customHeight="true" outlineLevel="0" collapsed="false">
      <c r="A143" s="72"/>
      <c r="B143" s="73" t="s">
        <v>129</v>
      </c>
      <c r="C143" s="74" t="s">
        <v>38</v>
      </c>
      <c r="D143" s="74" t="s">
        <v>130</v>
      </c>
      <c r="E143" s="74" t="s">
        <v>25</v>
      </c>
      <c r="F143" s="20"/>
      <c r="G143" s="21" t="s">
        <v>22</v>
      </c>
      <c r="H143" s="22" t="n">
        <v>2</v>
      </c>
      <c r="I143" s="67"/>
      <c r="J143" s="67"/>
      <c r="K143" s="68" t="n">
        <f aca="false">L143+M143</f>
        <v>0</v>
      </c>
      <c r="L143" s="68"/>
      <c r="M143" s="68"/>
      <c r="N143" s="67"/>
      <c r="O143" s="68" t="n">
        <f aca="false">P143+Q143</f>
        <v>0</v>
      </c>
      <c r="P143" s="68"/>
      <c r="Q143" s="69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/>
      <c r="G144" s="43" t="s">
        <v>26</v>
      </c>
      <c r="H144" s="42"/>
      <c r="I144" s="64"/>
      <c r="J144" s="64"/>
      <c r="K144" s="65" t="n">
        <f aca="false">L144+M144</f>
        <v>0</v>
      </c>
      <c r="L144" s="65"/>
      <c r="M144" s="65"/>
      <c r="N144" s="64" t="n">
        <v>1</v>
      </c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6.5" hidden="false" customHeight="true" outlineLevel="0" collapsed="false">
      <c r="A145" s="17"/>
      <c r="B145" s="18" t="s">
        <v>131</v>
      </c>
      <c r="C145" s="19" t="s">
        <v>38</v>
      </c>
      <c r="D145" s="19" t="s">
        <v>130</v>
      </c>
      <c r="E145" s="19" t="s">
        <v>25</v>
      </c>
      <c r="F145" s="20"/>
      <c r="G145" s="21" t="s">
        <v>22</v>
      </c>
      <c r="H145" s="22" t="n">
        <v>3</v>
      </c>
      <c r="I145" s="67" t="n">
        <v>2</v>
      </c>
      <c r="J145" s="67" t="n">
        <v>2</v>
      </c>
      <c r="K145" s="68" t="n">
        <f aca="false">L145+M145</f>
        <v>0</v>
      </c>
      <c r="L145" s="68"/>
      <c r="M145" s="68"/>
      <c r="N145" s="67" t="n">
        <v>1</v>
      </c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6.5" hidden="false" customHeight="true" outlineLevel="0" collapsed="false">
      <c r="A146" s="17"/>
      <c r="B146" s="18"/>
      <c r="C146" s="18"/>
      <c r="D146" s="18"/>
      <c r="E146" s="18"/>
      <c r="F146" s="26"/>
      <c r="G146" s="27" t="s">
        <v>26</v>
      </c>
      <c r="H146" s="26"/>
      <c r="I146" s="58"/>
      <c r="J146" s="58"/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9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6.5" hidden="false" customHeight="true" outlineLevel="0" collapsed="false">
      <c r="A147" s="33"/>
      <c r="B147" s="34" t="s">
        <v>132</v>
      </c>
      <c r="C147" s="35" t="s">
        <v>20</v>
      </c>
      <c r="D147" s="35"/>
      <c r="E147" s="35" t="s">
        <v>69</v>
      </c>
      <c r="F147" s="38"/>
      <c r="G147" s="21" t="s">
        <v>22</v>
      </c>
      <c r="H147" s="38" t="n">
        <v>1</v>
      </c>
      <c r="I147" s="61"/>
      <c r="J147" s="61"/>
      <c r="K147" s="62" t="n">
        <f aca="false">L147+M147</f>
        <v>0</v>
      </c>
      <c r="L147" s="62"/>
      <c r="M147" s="62"/>
      <c r="N147" s="61"/>
      <c r="O147" s="62" t="n">
        <f aca="false">P147+Q147</f>
        <v>0</v>
      </c>
      <c r="P147" s="62"/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6.5" hidden="false" customHeight="true" outlineLevel="0" collapsed="false">
      <c r="A148" s="33"/>
      <c r="B148" s="34"/>
      <c r="C148" s="34"/>
      <c r="D148" s="34"/>
      <c r="E148" s="34"/>
      <c r="F148" s="42"/>
      <c r="G148" s="43" t="s">
        <v>26</v>
      </c>
      <c r="H148" s="42"/>
      <c r="I148" s="64"/>
      <c r="J148" s="64"/>
      <c r="K148" s="65" t="n">
        <f aca="false">L148+M148</f>
        <v>0</v>
      </c>
      <c r="L148" s="65"/>
      <c r="M148" s="65"/>
      <c r="N148" s="64"/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6.5" hidden="false" customHeight="true" outlineLevel="0" collapsed="false">
      <c r="A149" s="72"/>
      <c r="B149" s="73" t="s">
        <v>133</v>
      </c>
      <c r="C149" s="74" t="s">
        <v>20</v>
      </c>
      <c r="D149" s="74"/>
      <c r="E149" s="74" t="s">
        <v>25</v>
      </c>
      <c r="F149" s="22"/>
      <c r="G149" s="21" t="s">
        <v>22</v>
      </c>
      <c r="H149" s="22"/>
      <c r="I149" s="67"/>
      <c r="J149" s="67"/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6.5" hidden="false" customHeight="true" outlineLevel="0" collapsed="false">
      <c r="A150" s="72"/>
      <c r="B150" s="73"/>
      <c r="C150" s="73"/>
      <c r="D150" s="73"/>
      <c r="E150" s="73"/>
      <c r="F150" s="42"/>
      <c r="G150" s="43" t="s">
        <v>26</v>
      </c>
      <c r="H150" s="42" t="n">
        <v>1</v>
      </c>
      <c r="I150" s="64"/>
      <c r="J150" s="64"/>
      <c r="K150" s="65" t="n">
        <f aca="false">L150+M150</f>
        <v>0</v>
      </c>
      <c r="L150" s="65"/>
      <c r="M150" s="65"/>
      <c r="N150" s="64"/>
      <c r="O150" s="65" t="n">
        <f aca="false">P150+Q150</f>
        <v>0</v>
      </c>
      <c r="P150" s="65"/>
      <c r="Q150" s="6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6.5" hidden="false" customHeight="true" outlineLevel="0" collapsed="false">
      <c r="A151" s="72"/>
      <c r="B151" s="73" t="s">
        <v>134</v>
      </c>
      <c r="C151" s="74" t="s">
        <v>20</v>
      </c>
      <c r="D151" s="74"/>
      <c r="E151" s="74" t="s">
        <v>25</v>
      </c>
      <c r="F151" s="20"/>
      <c r="G151" s="21" t="s">
        <v>22</v>
      </c>
      <c r="H151" s="22"/>
      <c r="I151" s="67"/>
      <c r="J151" s="67"/>
      <c r="K151" s="68" t="n">
        <f aca="false">L151+M151</f>
        <v>0</v>
      </c>
      <c r="L151" s="68"/>
      <c r="M151" s="68"/>
      <c r="N151" s="67"/>
      <c r="O151" s="68" t="n">
        <f aca="false">P151+Q151</f>
        <v>0</v>
      </c>
      <c r="P151" s="68"/>
      <c r="Q151" s="69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/>
      <c r="G152" s="43" t="s">
        <v>26</v>
      </c>
      <c r="H152" s="42"/>
      <c r="I152" s="64"/>
      <c r="J152" s="64"/>
      <c r="K152" s="65" t="n">
        <f aca="false">L152+M152</f>
        <v>0</v>
      </c>
      <c r="L152" s="65"/>
      <c r="M152" s="65"/>
      <c r="N152" s="64" t="n">
        <v>1</v>
      </c>
      <c r="O152" s="65" t="n">
        <f aca="false">P152+Q152</f>
        <v>0</v>
      </c>
      <c r="P152" s="65"/>
      <c r="Q152" s="6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true" outlineLevel="0" collapsed="false">
      <c r="A153" s="17"/>
      <c r="B153" s="18" t="s">
        <v>135</v>
      </c>
      <c r="C153" s="19" t="s">
        <v>20</v>
      </c>
      <c r="D153" s="19"/>
      <c r="E153" s="19" t="s">
        <v>69</v>
      </c>
      <c r="F153" s="22"/>
      <c r="G153" s="21" t="s">
        <v>22</v>
      </c>
      <c r="H153" s="22" t="n">
        <v>2</v>
      </c>
      <c r="I153" s="67"/>
      <c r="J153" s="67"/>
      <c r="K153" s="68" t="n">
        <f aca="false">L153+M153</f>
        <v>0</v>
      </c>
      <c r="L153" s="68"/>
      <c r="M153" s="68"/>
      <c r="N153" s="67"/>
      <c r="O153" s="68" t="n">
        <f aca="false">P153+Q153</f>
        <v>0</v>
      </c>
      <c r="P153" s="68"/>
      <c r="Q153" s="69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26"/>
      <c r="G154" s="27" t="s">
        <v>26</v>
      </c>
      <c r="H154" s="26"/>
      <c r="I154" s="58"/>
      <c r="J154" s="58"/>
      <c r="K154" s="59" t="n">
        <f aca="false">L154+M154</f>
        <v>0</v>
      </c>
      <c r="L154" s="59"/>
      <c r="M154" s="59"/>
      <c r="N154" s="58"/>
      <c r="O154" s="59" t="n">
        <f aca="false">P154+Q154</f>
        <v>0</v>
      </c>
      <c r="P154" s="59"/>
      <c r="Q154" s="60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33"/>
      <c r="B155" s="34" t="s">
        <v>136</v>
      </c>
      <c r="C155" s="35" t="s">
        <v>20</v>
      </c>
      <c r="D155" s="35"/>
      <c r="E155" s="35" t="s">
        <v>98</v>
      </c>
      <c r="F155" s="36"/>
      <c r="G155" s="21" t="s">
        <v>22</v>
      </c>
      <c r="H155" s="38" t="n">
        <v>7</v>
      </c>
      <c r="I155" s="61"/>
      <c r="J155" s="61"/>
      <c r="K155" s="62" t="n">
        <f aca="false">L155+M155</f>
        <v>0</v>
      </c>
      <c r="L155" s="62"/>
      <c r="M155" s="62"/>
      <c r="N155" s="61"/>
      <c r="O155" s="62" t="n">
        <f aca="false">P155+Q155</f>
        <v>0</v>
      </c>
      <c r="P155" s="62"/>
      <c r="Q155" s="63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/>
      <c r="G156" s="43" t="s">
        <v>23</v>
      </c>
      <c r="H156" s="42" t="n">
        <v>2</v>
      </c>
      <c r="I156" s="64"/>
      <c r="J156" s="64"/>
      <c r="K156" s="65" t="n">
        <f aca="false">L156+M156</f>
        <v>0</v>
      </c>
      <c r="L156" s="65"/>
      <c r="M156" s="65"/>
      <c r="N156" s="64"/>
      <c r="O156" s="65" t="n">
        <f aca="false">P156+Q156</f>
        <v>0</v>
      </c>
      <c r="P156" s="65"/>
      <c r="Q156" s="6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17"/>
      <c r="B157" s="18" t="s">
        <v>137</v>
      </c>
      <c r="C157" s="19" t="s">
        <v>20</v>
      </c>
      <c r="D157" s="19"/>
      <c r="E157" s="19" t="s">
        <v>25</v>
      </c>
      <c r="F157" s="20"/>
      <c r="G157" s="21" t="s">
        <v>22</v>
      </c>
      <c r="H157" s="22"/>
      <c r="I157" s="67"/>
      <c r="J157" s="67"/>
      <c r="K157" s="68" t="n">
        <f aca="false">L157+M157</f>
        <v>0</v>
      </c>
      <c r="L157" s="68"/>
      <c r="M157" s="68"/>
      <c r="N157" s="67"/>
      <c r="O157" s="68" t="n">
        <f aca="false">P157+Q157</f>
        <v>0</v>
      </c>
      <c r="P157" s="68"/>
      <c r="Q157" s="69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20.25" hidden="false" customHeight="true" outlineLevel="0" collapsed="false">
      <c r="A158" s="17"/>
      <c r="B158" s="18"/>
      <c r="C158" s="18"/>
      <c r="D158" s="18"/>
      <c r="E158" s="18"/>
      <c r="F158" s="26"/>
      <c r="G158" s="27" t="s">
        <v>26</v>
      </c>
      <c r="H158" s="26"/>
      <c r="I158" s="58"/>
      <c r="J158" s="58"/>
      <c r="K158" s="59" t="n">
        <f aca="false">L158+M158</f>
        <v>0</v>
      </c>
      <c r="L158" s="59"/>
      <c r="M158" s="59"/>
      <c r="N158" s="58"/>
      <c r="O158" s="59" t="n">
        <f aca="false">P158+Q158</f>
        <v>0</v>
      </c>
      <c r="P158" s="59"/>
      <c r="Q158" s="60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 t="s">
        <v>138</v>
      </c>
      <c r="C159" s="56" t="s">
        <v>33</v>
      </c>
      <c r="D159" s="56" t="s">
        <v>139</v>
      </c>
      <c r="E159" s="56" t="s">
        <v>25</v>
      </c>
      <c r="F159" s="36"/>
      <c r="G159" s="21" t="s">
        <v>22</v>
      </c>
      <c r="H159" s="38"/>
      <c r="I159" s="61"/>
      <c r="J159" s="61"/>
      <c r="K159" s="62" t="n">
        <f aca="false">L159+M159</f>
        <v>0</v>
      </c>
      <c r="L159" s="62"/>
      <c r="M159" s="62"/>
      <c r="N159" s="61"/>
      <c r="O159" s="62" t="n">
        <f aca="false">P159+Q159</f>
        <v>0</v>
      </c>
      <c r="P159" s="62"/>
      <c r="Q159" s="63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27" t="s">
        <v>23</v>
      </c>
      <c r="H160" s="26"/>
      <c r="I160" s="58"/>
      <c r="J160" s="58"/>
      <c r="K160" s="59" t="n">
        <f aca="false">L160+M160</f>
        <v>0</v>
      </c>
      <c r="L160" s="59"/>
      <c r="M160" s="59"/>
      <c r="N160" s="58"/>
      <c r="O160" s="59" t="n">
        <f aca="false">P160+Q160</f>
        <v>0</v>
      </c>
      <c r="P160" s="59"/>
      <c r="Q160" s="60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true" outlineLevel="0" collapsed="false">
      <c r="A161" s="33"/>
      <c r="B161" s="34" t="s">
        <v>140</v>
      </c>
      <c r="C161" s="35" t="s">
        <v>20</v>
      </c>
      <c r="D161" s="35"/>
      <c r="E161" s="35" t="s">
        <v>141</v>
      </c>
      <c r="F161" s="36"/>
      <c r="G161" s="21" t="s">
        <v>22</v>
      </c>
      <c r="H161" s="38" t="n">
        <v>1</v>
      </c>
      <c r="I161" s="61"/>
      <c r="J161" s="61"/>
      <c r="K161" s="62" t="n">
        <f aca="false">L161+M161</f>
        <v>0</v>
      </c>
      <c r="L161" s="62"/>
      <c r="M161" s="62"/>
      <c r="N161" s="61" t="n">
        <v>1</v>
      </c>
      <c r="O161" s="62" t="n">
        <f aca="false">P161+Q161</f>
        <v>0</v>
      </c>
      <c r="P161" s="62"/>
      <c r="Q161" s="63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/>
      <c r="G162" s="43" t="s">
        <v>26</v>
      </c>
      <c r="H162" s="42"/>
      <c r="I162" s="64"/>
      <c r="J162" s="64"/>
      <c r="K162" s="65" t="n">
        <f aca="false">L162+M162</f>
        <v>0</v>
      </c>
      <c r="L162" s="65"/>
      <c r="M162" s="65"/>
      <c r="N162" s="64"/>
      <c r="O162" s="65" t="n">
        <f aca="false">P162+Q162</f>
        <v>0</v>
      </c>
      <c r="P162" s="65"/>
      <c r="Q162" s="6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17"/>
      <c r="B163" s="18" t="s">
        <v>142</v>
      </c>
      <c r="C163" s="19" t="s">
        <v>20</v>
      </c>
      <c r="D163" s="19"/>
      <c r="E163" s="19" t="s">
        <v>25</v>
      </c>
      <c r="F163" s="20"/>
      <c r="G163" s="21" t="s">
        <v>22</v>
      </c>
      <c r="H163" s="22" t="n">
        <v>2</v>
      </c>
      <c r="I163" s="67"/>
      <c r="J163" s="67"/>
      <c r="K163" s="68" t="n">
        <f aca="false">L163+M163</f>
        <v>0</v>
      </c>
      <c r="L163" s="68"/>
      <c r="M163" s="68"/>
      <c r="N163" s="67" t="n">
        <v>1</v>
      </c>
      <c r="O163" s="68" t="n">
        <f aca="false">P163+Q163</f>
        <v>0</v>
      </c>
      <c r="P163" s="68"/>
      <c r="Q163" s="69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/>
      <c r="G164" s="27" t="s">
        <v>26</v>
      </c>
      <c r="H164" s="26" t="n">
        <v>2</v>
      </c>
      <c r="I164" s="58"/>
      <c r="J164" s="58"/>
      <c r="K164" s="59" t="n">
        <f aca="false">L164+M164</f>
        <v>0</v>
      </c>
      <c r="L164" s="59"/>
      <c r="M164" s="59"/>
      <c r="N164" s="58"/>
      <c r="O164" s="59" t="n">
        <f aca="false">P164+Q164</f>
        <v>0</v>
      </c>
      <c r="P164" s="59"/>
      <c r="Q164" s="60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33"/>
      <c r="B165" s="34" t="s">
        <v>143</v>
      </c>
      <c r="C165" s="35" t="s">
        <v>20</v>
      </c>
      <c r="D165" s="35"/>
      <c r="E165" s="35" t="s">
        <v>25</v>
      </c>
      <c r="F165" s="36"/>
      <c r="G165" s="21" t="s">
        <v>22</v>
      </c>
      <c r="H165" s="38"/>
      <c r="I165" s="61"/>
      <c r="J165" s="61"/>
      <c r="K165" s="62" t="n">
        <f aca="false">L165+M165</f>
        <v>0</v>
      </c>
      <c r="L165" s="62"/>
      <c r="M165" s="62"/>
      <c r="N165" s="61"/>
      <c r="O165" s="62" t="n">
        <f aca="false">P165+Q165</f>
        <v>0</v>
      </c>
      <c r="P165" s="62"/>
      <c r="Q165" s="63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/>
      <c r="G166" s="43" t="s">
        <v>26</v>
      </c>
      <c r="H166" s="42" t="n">
        <v>1</v>
      </c>
      <c r="I166" s="64"/>
      <c r="J166" s="64"/>
      <c r="K166" s="65" t="n">
        <f aca="false">L166+M166</f>
        <v>0</v>
      </c>
      <c r="L166" s="65"/>
      <c r="M166" s="65"/>
      <c r="N166" s="64"/>
      <c r="O166" s="65" t="n">
        <f aca="false">P166+Q166</f>
        <v>0</v>
      </c>
      <c r="P166" s="65"/>
      <c r="Q166" s="6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 t="s">
        <v>144</v>
      </c>
      <c r="C167" s="19" t="s">
        <v>20</v>
      </c>
      <c r="D167" s="19"/>
      <c r="E167" s="19" t="s">
        <v>81</v>
      </c>
      <c r="F167" s="20"/>
      <c r="G167" s="21" t="s">
        <v>22</v>
      </c>
      <c r="H167" s="22"/>
      <c r="I167" s="67"/>
      <c r="J167" s="67"/>
      <c r="K167" s="68" t="n">
        <f aca="false">L167+M167</f>
        <v>0</v>
      </c>
      <c r="L167" s="68"/>
      <c r="M167" s="68"/>
      <c r="N167" s="67"/>
      <c r="O167" s="68" t="n">
        <f aca="false">P167+Q167</f>
        <v>0</v>
      </c>
      <c r="P167" s="68"/>
      <c r="Q167" s="69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/>
      <c r="G168" s="27" t="s">
        <v>26</v>
      </c>
      <c r="H168" s="26" t="n">
        <v>3</v>
      </c>
      <c r="I168" s="58"/>
      <c r="J168" s="58"/>
      <c r="K168" s="59" t="n">
        <f aca="false">L168+M168</f>
        <v>0</v>
      </c>
      <c r="L168" s="59"/>
      <c r="M168" s="59"/>
      <c r="N168" s="58"/>
      <c r="O168" s="59" t="n">
        <f aca="false">P168+Q168</f>
        <v>0</v>
      </c>
      <c r="P168" s="59"/>
      <c r="Q168" s="60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" hidden="false" customHeight="true" outlineLevel="0" collapsed="false">
      <c r="A169" s="33"/>
      <c r="B169" s="34" t="s">
        <v>145</v>
      </c>
      <c r="C169" s="35" t="s">
        <v>20</v>
      </c>
      <c r="D169" s="35"/>
      <c r="E169" s="35" t="s">
        <v>98</v>
      </c>
      <c r="F169" s="36"/>
      <c r="G169" s="21" t="s">
        <v>22</v>
      </c>
      <c r="H169" s="38"/>
      <c r="I169" s="61"/>
      <c r="J169" s="61"/>
      <c r="K169" s="62" t="n">
        <f aca="false">L169+M169</f>
        <v>0</v>
      </c>
      <c r="L169" s="62"/>
      <c r="M169" s="62"/>
      <c r="N169" s="61"/>
      <c r="O169" s="62" t="n">
        <f aca="false">P169+Q169</f>
        <v>0</v>
      </c>
      <c r="P169" s="62"/>
      <c r="Q169" s="63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71"/>
      <c r="G170" s="43" t="s">
        <v>23</v>
      </c>
      <c r="H170" s="42"/>
      <c r="I170" s="64"/>
      <c r="J170" s="64"/>
      <c r="K170" s="65" t="n">
        <f aca="false">L170+M170</f>
        <v>0</v>
      </c>
      <c r="L170" s="65"/>
      <c r="M170" s="65"/>
      <c r="N170" s="64"/>
      <c r="O170" s="65" t="n">
        <f aca="false">P170+Q170</f>
        <v>0</v>
      </c>
      <c r="P170" s="65"/>
      <c r="Q170" s="6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" hidden="false" customHeight="true" outlineLevel="0" collapsed="false">
      <c r="A171" s="17"/>
      <c r="B171" s="18" t="s">
        <v>146</v>
      </c>
      <c r="C171" s="19" t="s">
        <v>20</v>
      </c>
      <c r="D171" s="19"/>
      <c r="E171" s="19" t="s">
        <v>25</v>
      </c>
      <c r="F171" s="22"/>
      <c r="G171" s="21" t="s">
        <v>22</v>
      </c>
      <c r="H171" s="22"/>
      <c r="I171" s="67"/>
      <c r="J171" s="67"/>
      <c r="K171" s="68" t="n">
        <f aca="false">L171+M171</f>
        <v>0</v>
      </c>
      <c r="L171" s="68"/>
      <c r="M171" s="68"/>
      <c r="N171" s="67"/>
      <c r="O171" s="68" t="n">
        <f aca="false">P171+Q171</f>
        <v>0</v>
      </c>
      <c r="P171" s="68"/>
      <c r="Q171" s="69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/>
      <c r="G172" s="27" t="s">
        <v>26</v>
      </c>
      <c r="H172" s="26"/>
      <c r="I172" s="58"/>
      <c r="J172" s="58"/>
      <c r="K172" s="59" t="n">
        <f aca="false">L172+M172</f>
        <v>0</v>
      </c>
      <c r="L172" s="59"/>
      <c r="M172" s="59"/>
      <c r="N172" s="58"/>
      <c r="O172" s="59" t="n">
        <f aca="false">P172+Q172</f>
        <v>0</v>
      </c>
      <c r="P172" s="59"/>
      <c r="Q172" s="60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 t="s">
        <v>147</v>
      </c>
      <c r="C173" s="56" t="s">
        <v>20</v>
      </c>
      <c r="D173" s="56"/>
      <c r="E173" s="56" t="s">
        <v>25</v>
      </c>
      <c r="F173" s="97"/>
      <c r="G173" s="21" t="s">
        <v>22</v>
      </c>
      <c r="H173" s="38"/>
      <c r="I173" s="61"/>
      <c r="J173" s="61"/>
      <c r="K173" s="62" t="n">
        <f aca="false">L173+M173</f>
        <v>0</v>
      </c>
      <c r="L173" s="62"/>
      <c r="M173" s="62"/>
      <c r="N173" s="61" t="n">
        <v>1</v>
      </c>
      <c r="O173" s="62" t="n">
        <f aca="false">P173+Q173</f>
        <v>0</v>
      </c>
      <c r="P173" s="62"/>
      <c r="Q173" s="63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26"/>
      <c r="G174" s="27" t="s">
        <v>26</v>
      </c>
      <c r="H174" s="26" t="n">
        <v>1</v>
      </c>
      <c r="I174" s="58"/>
      <c r="J174" s="58"/>
      <c r="K174" s="59" t="n">
        <f aca="false">L174+M174</f>
        <v>0</v>
      </c>
      <c r="L174" s="59"/>
      <c r="M174" s="59"/>
      <c r="N174" s="58" t="n">
        <v>1</v>
      </c>
      <c r="O174" s="59" t="n">
        <f aca="false">P174+Q174</f>
        <v>0</v>
      </c>
      <c r="P174" s="59"/>
      <c r="Q174" s="98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" hidden="false" customHeight="true" outlineLevel="0" collapsed="false">
      <c r="A175" s="17"/>
      <c r="B175" s="18" t="s">
        <v>148</v>
      </c>
      <c r="C175" s="19" t="s">
        <v>20</v>
      </c>
      <c r="D175" s="19"/>
      <c r="E175" s="19" t="s">
        <v>21</v>
      </c>
      <c r="F175" s="22"/>
      <c r="G175" s="21" t="s">
        <v>22</v>
      </c>
      <c r="H175" s="22" t="n">
        <v>1</v>
      </c>
      <c r="I175" s="67"/>
      <c r="J175" s="67"/>
      <c r="K175" s="68" t="n">
        <f aca="false">L175+M175</f>
        <v>0</v>
      </c>
      <c r="L175" s="68"/>
      <c r="M175" s="68"/>
      <c r="N175" s="67"/>
      <c r="O175" s="68" t="n">
        <f aca="false">P175+Q175</f>
        <v>0</v>
      </c>
      <c r="P175" s="68"/>
      <c r="Q175" s="69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/>
      <c r="C176" s="18"/>
      <c r="D176" s="18"/>
      <c r="E176" s="18"/>
      <c r="F176" s="26"/>
      <c r="G176" s="27" t="s">
        <v>23</v>
      </c>
      <c r="H176" s="26" t="n">
        <v>1</v>
      </c>
      <c r="I176" s="58"/>
      <c r="J176" s="58"/>
      <c r="K176" s="59" t="n">
        <f aca="false">L176+M176</f>
        <v>0</v>
      </c>
      <c r="L176" s="59"/>
      <c r="M176" s="59"/>
      <c r="N176" s="58"/>
      <c r="O176" s="59" t="n">
        <f aca="false">P176+Q176</f>
        <v>0</v>
      </c>
      <c r="P176" s="59"/>
      <c r="Q176" s="60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99"/>
      <c r="B177" s="100" t="s">
        <v>149</v>
      </c>
      <c r="C177" s="100"/>
      <c r="D177" s="100"/>
      <c r="E177" s="100"/>
      <c r="F177" s="100"/>
      <c r="G177" s="100"/>
      <c r="H177" s="100" t="n">
        <f aca="false">SUM(H9:H176)</f>
        <v>174</v>
      </c>
      <c r="I177" s="100" t="n">
        <f aca="false">SUM(I9:I176)</f>
        <v>25</v>
      </c>
      <c r="J177" s="100" t="n">
        <f aca="false">SUM(J9:J176)</f>
        <v>25</v>
      </c>
      <c r="K177" s="101" t="n">
        <f aca="false">SUM(K9:K176)</f>
        <v>0</v>
      </c>
      <c r="L177" s="101" t="n">
        <f aca="false">SUM(L9:L176)</f>
        <v>0</v>
      </c>
      <c r="M177" s="102" t="n">
        <f aca="false">SUM(M9:M176)</f>
        <v>0</v>
      </c>
      <c r="N177" s="100" t="n">
        <f aca="false">SUM(N9:N176)</f>
        <v>99</v>
      </c>
      <c r="O177" s="102" t="n">
        <f aca="false">SUM(O9:O176)</f>
        <v>0</v>
      </c>
      <c r="P177" s="102" t="n">
        <f aca="false">SUM(P9:P176)</f>
        <v>0</v>
      </c>
      <c r="Q177" s="102" t="n">
        <f aca="false">SUM(Q9:Q176)</f>
        <v>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" hidden="false" customHeight="false" outlineLevel="0" collapsed="false">
      <c r="A178" s="2"/>
      <c r="B178" s="2"/>
      <c r="C178" s="2"/>
      <c r="D178" s="2"/>
      <c r="E178" s="2"/>
      <c r="F178" s="2"/>
      <c r="G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" hidden="false" customHeight="true" outlineLevel="0" collapsed="false">
      <c r="A181" s="2"/>
      <c r="B181" s="2"/>
      <c r="C181" s="2"/>
      <c r="D181" s="2"/>
      <c r="E181" s="2"/>
      <c r="F181" s="103"/>
      <c r="G181" s="104" t="s">
        <v>5</v>
      </c>
      <c r="H181" s="104"/>
      <c r="I181" s="104"/>
      <c r="J181" s="104"/>
      <c r="K181" s="104"/>
      <c r="L181" s="104"/>
      <c r="M181" s="104" t="s">
        <v>6</v>
      </c>
      <c r="N181" s="104"/>
      <c r="O181" s="104"/>
      <c r="P181" s="104"/>
      <c r="Q181" s="105" t="s">
        <v>150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false" outlineLevel="0" collapsed="false">
      <c r="A182" s="2"/>
      <c r="B182" s="2"/>
      <c r="C182" s="2"/>
      <c r="D182" s="2"/>
      <c r="E182" s="2"/>
      <c r="F182" s="103"/>
      <c r="G182" s="106" t="s">
        <v>13</v>
      </c>
      <c r="H182" s="106" t="s">
        <v>14</v>
      </c>
      <c r="I182" s="106" t="s">
        <v>15</v>
      </c>
      <c r="J182" s="106" t="s">
        <v>16</v>
      </c>
      <c r="K182" s="106" t="s">
        <v>17</v>
      </c>
      <c r="L182" s="106" t="s">
        <v>18</v>
      </c>
      <c r="M182" s="106" t="s">
        <v>15</v>
      </c>
      <c r="N182" s="106" t="s">
        <v>16</v>
      </c>
      <c r="O182" s="106" t="s">
        <v>17</v>
      </c>
      <c r="P182" s="106" t="s">
        <v>18</v>
      </c>
      <c r="Q182" s="105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" hidden="false" customHeight="false" outlineLevel="0" collapsed="false">
      <c r="A183" s="2"/>
      <c r="B183" s="2"/>
      <c r="C183" s="2"/>
      <c r="D183" s="2"/>
      <c r="E183" s="2"/>
      <c r="F183" s="107" t="s">
        <v>22</v>
      </c>
      <c r="G183" s="108" t="n">
        <f aca="false">SUMIF($G$9:$G$176,$F$183,H9:H176)</f>
        <v>116</v>
      </c>
      <c r="H183" s="108" t="n">
        <f aca="false">SUMIF($G$9:$G$176,$F$183,I9:I176)</f>
        <v>21</v>
      </c>
      <c r="I183" s="108" t="n">
        <f aca="false">SUMIF($G$9:$G$176,$F$183,J9:J176)</f>
        <v>21</v>
      </c>
      <c r="J183" s="109" t="n">
        <f aca="false">SUMIF($G$9:$G$176,$F$183,K9:K176)</f>
        <v>0</v>
      </c>
      <c r="K183" s="109" t="n">
        <f aca="false">SUMIF($G$9:$G$176,$F$183,L9:L176)</f>
        <v>0</v>
      </c>
      <c r="L183" s="109" t="n">
        <f aca="false">SUMIF($G$9:$G$176,$F$183,M9:M176)</f>
        <v>0</v>
      </c>
      <c r="M183" s="108" t="n">
        <f aca="false">SUMIF($G$9:$G$176,$F$183,N9:N176)</f>
        <v>75</v>
      </c>
      <c r="N183" s="109" t="n">
        <f aca="false">SUMIF($G$9:$G$176,$F$183,O9:O176)</f>
        <v>0</v>
      </c>
      <c r="O183" s="109" t="n">
        <f aca="false">SUMIF($G$9:$G$176,$F$183,P9:P176)</f>
        <v>0</v>
      </c>
      <c r="P183" s="109" t="n">
        <f aca="false">SUMIF($G$9:$G$176,$F$183,Q9:Q176)</f>
        <v>0</v>
      </c>
      <c r="Q183" s="110" t="n">
        <f aca="false">O183+K183</f>
        <v>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false" outlineLevel="0" collapsed="false">
      <c r="A184" s="2"/>
      <c r="B184" s="2"/>
      <c r="C184" s="2"/>
      <c r="D184" s="2"/>
      <c r="E184" s="2"/>
      <c r="F184" s="107" t="s">
        <v>26</v>
      </c>
      <c r="G184" s="108" t="n">
        <f aca="false">SUMIF($G$9:$G$176,$F$184,H9:H176)</f>
        <v>32</v>
      </c>
      <c r="H184" s="108" t="n">
        <f aca="false">SUMIF($G$9:$G$176,$F$184,I9:I176)</f>
        <v>0</v>
      </c>
      <c r="I184" s="108" t="n">
        <f aca="false">SUMIF($G$9:$G$176,$F$184,J9:J176)</f>
        <v>0</v>
      </c>
      <c r="J184" s="109" t="n">
        <f aca="false">SUMIF($G$9:$G$176,$F$184,K9:K176)</f>
        <v>0</v>
      </c>
      <c r="K184" s="109" t="n">
        <f aca="false">SUMIF($G$9:$G$176,$F$184,L9:L176)</f>
        <v>0</v>
      </c>
      <c r="L184" s="109" t="n">
        <f aca="false">SUMIF($G$9:$G$176,$F$184,M9:M176)</f>
        <v>0</v>
      </c>
      <c r="M184" s="108" t="n">
        <f aca="false">SUMIF($G$9:$G$176,$F$184,N9:N176)</f>
        <v>21</v>
      </c>
      <c r="N184" s="109" t="n">
        <f aca="false">SUMIF($G$9:$G$176,$F$184,O9:O176)</f>
        <v>0</v>
      </c>
      <c r="O184" s="109" t="n">
        <f aca="false">SUMIF($G$9:$G$176,$F$184,P9:P176)</f>
        <v>0</v>
      </c>
      <c r="P184" s="109" t="n">
        <f aca="false">SUMIF($G$9:$G$176,$F$184,Q9:Q176)</f>
        <v>0</v>
      </c>
      <c r="Q184" s="110" t="n">
        <f aca="false">O184+K184</f>
        <v>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" hidden="false" customHeight="false" outlineLevel="0" collapsed="false">
      <c r="A185" s="2"/>
      <c r="B185" s="2"/>
      <c r="C185" s="2"/>
      <c r="D185" s="2"/>
      <c r="E185" s="2"/>
      <c r="F185" s="107" t="s">
        <v>23</v>
      </c>
      <c r="G185" s="108" t="n">
        <f aca="false">SUMIF($G$9:$G$176,$F$185,H9:H176)</f>
        <v>26</v>
      </c>
      <c r="H185" s="108" t="n">
        <f aca="false">SUMIF($G$9:$G$176,$F$185,I9:I176)</f>
        <v>4</v>
      </c>
      <c r="I185" s="108" t="n">
        <f aca="false">SUMIF($G$9:$G$176,$F$185,J9:J176)</f>
        <v>4</v>
      </c>
      <c r="J185" s="109" t="n">
        <f aca="false">SUMIF($G$9:$G$176,$F$185,K9:K176)</f>
        <v>0</v>
      </c>
      <c r="K185" s="109" t="n">
        <f aca="false">SUMIF($G$9:$G$176,$F$185,L9:L176)</f>
        <v>0</v>
      </c>
      <c r="L185" s="109" t="n">
        <f aca="false">SUMIF($G$9:$G$176,$F$185,M9:M176)</f>
        <v>0</v>
      </c>
      <c r="M185" s="108" t="n">
        <f aca="false">SUMIF($G$9:$G$176,$F$185,N9:N176)</f>
        <v>3</v>
      </c>
      <c r="N185" s="109" t="n">
        <f aca="false">SUMIF($G$9:$G$176,$F$185,O9:O176)</f>
        <v>0</v>
      </c>
      <c r="O185" s="109" t="n">
        <f aca="false">SUMIF($G$9:$G$176,$F$185,P9:P176)</f>
        <v>0</v>
      </c>
      <c r="P185" s="109" t="n">
        <f aca="false">SUMIF($G$9:$G$176,$F$185,Q9:Q176)</f>
        <v>0</v>
      </c>
      <c r="Q185" s="110" t="n">
        <f aca="false">O185+K185</f>
        <v>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1" t="n">
        <f aca="false">Q185+Q184+Q183</f>
        <v>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" hidden="false" customHeight="false" outlineLevel="0" collapsed="false">
      <c r="A189" s="2"/>
      <c r="B189" s="2"/>
      <c r="C189" s="2"/>
      <c r="D189" s="2"/>
      <c r="E189" s="2"/>
      <c r="F189" s="2"/>
      <c r="G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</sheetData>
  <mergeCells count="42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3"/>
    <mergeCell ref="B71:B73"/>
    <mergeCell ref="C71:C73"/>
    <mergeCell ref="D71:D73"/>
    <mergeCell ref="E71:E73"/>
    <mergeCell ref="A74:A75"/>
    <mergeCell ref="B74:B75"/>
    <mergeCell ref="C74:C75"/>
    <mergeCell ref="D74:D75"/>
    <mergeCell ref="E74:E75"/>
    <mergeCell ref="A76:A77"/>
    <mergeCell ref="B76:B77"/>
    <mergeCell ref="C76:C77"/>
    <mergeCell ref="D76:D77"/>
    <mergeCell ref="E76:E77"/>
    <mergeCell ref="A78:A79"/>
    <mergeCell ref="B78:B79"/>
    <mergeCell ref="C78:C79"/>
    <mergeCell ref="D78:D79"/>
    <mergeCell ref="E78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2"/>
    <mergeCell ref="B90:B92"/>
    <mergeCell ref="C90:C92"/>
    <mergeCell ref="D90:D92"/>
    <mergeCell ref="E90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F181:F182"/>
    <mergeCell ref="G181:L181"/>
    <mergeCell ref="M181:P181"/>
    <mergeCell ref="Q181:Q182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24236.65</v>
      </c>
      <c r="R9" s="149" t="n">
        <v>24236.65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16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9438.15</v>
      </c>
      <c r="N11" s="239" t="n">
        <v>19018.76</v>
      </c>
      <c r="O11" s="151" t="n">
        <v>7</v>
      </c>
      <c r="P11" s="149" t="n">
        <v>30607.11</v>
      </c>
      <c r="Q11" s="149" t="n">
        <f aca="false">R11+S11</f>
        <v>30607.11</v>
      </c>
      <c r="R11" s="149" t="n">
        <v>21512.99</v>
      </c>
      <c r="S11" s="150" t="n">
        <v>9094.12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</f>
        <v>1585.8</v>
      </c>
      <c r="S12" s="156" t="n">
        <v>881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22</v>
      </c>
      <c r="I13" s="148" t="n">
        <v>16</v>
      </c>
      <c r="J13" s="148" t="n">
        <v>22</v>
      </c>
      <c r="K13" s="149" t="n">
        <v>23989.03</v>
      </c>
      <c r="L13" s="149" t="n">
        <f aca="false">M13+N13</f>
        <v>22535.38</v>
      </c>
      <c r="M13" s="149" t="n">
        <v>22535.38</v>
      </c>
      <c r="N13" s="190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2</v>
      </c>
      <c r="J14" s="154" t="n">
        <v>2</v>
      </c>
      <c r="K14" s="155" t="n">
        <v>1938.2</v>
      </c>
      <c r="L14" s="155" t="n">
        <f aca="false">M14+N14</f>
        <v>1938.2</v>
      </c>
      <c r="M14" s="155" t="n">
        <v>0</v>
      </c>
      <c r="N14" s="156" t="n">
        <v>1938.2</v>
      </c>
      <c r="O14" s="209" t="n">
        <v>6</v>
      </c>
      <c r="P14" s="155" t="n">
        <v>11273.8</v>
      </c>
      <c r="Q14" s="155" t="n">
        <f aca="false">R14+S14</f>
        <v>10916.3</v>
      </c>
      <c r="R14" s="155" t="n">
        <f aca="false">1585.8+2106.3+5109.8</f>
        <v>8801.9</v>
      </c>
      <c r="S14" s="167" t="n">
        <f aca="false">7224.2-5109.8</f>
        <v>2114.4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3724.22</v>
      </c>
      <c r="R16" s="166"/>
      <c r="S16" s="167" t="n">
        <f aca="false">10924.4-7200.18</f>
        <v>3724.22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4</v>
      </c>
      <c r="I18" s="154" t="n">
        <v>1</v>
      </c>
      <c r="J18" s="154" t="n">
        <v>1</v>
      </c>
      <c r="K18" s="155" t="n">
        <v>704.8</v>
      </c>
      <c r="L18" s="155" t="n">
        <f aca="false">M18+N18</f>
        <v>704.8</v>
      </c>
      <c r="M18" s="155"/>
      <c r="N18" s="226" t="n">
        <v>704.8</v>
      </c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14</v>
      </c>
      <c r="I19" s="160" t="n">
        <v>6</v>
      </c>
      <c r="J19" s="160" t="n">
        <v>6</v>
      </c>
      <c r="K19" s="161" t="n">
        <v>6637.5</v>
      </c>
      <c r="L19" s="161" t="n">
        <f aca="false">M19+N19</f>
        <v>4012.08</v>
      </c>
      <c r="M19" s="161" t="n">
        <v>2267.7</v>
      </c>
      <c r="N19" s="190" t="n">
        <v>1744.38</v>
      </c>
      <c r="O19" s="163" t="n">
        <v>16</v>
      </c>
      <c r="P19" s="161" t="n">
        <v>34111.34</v>
      </c>
      <c r="Q19" s="161" t="n">
        <f aca="false">R19+S19</f>
        <v>17766.28</v>
      </c>
      <c r="R19" s="161" t="n">
        <v>16182.38</v>
      </c>
      <c r="S19" s="190" t="n">
        <v>1583.9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2</v>
      </c>
      <c r="I20" s="154"/>
      <c r="J20" s="154"/>
      <c r="K20" s="155"/>
      <c r="L20" s="155" t="n">
        <f aca="false">M20+N20</f>
        <v>0</v>
      </c>
      <c r="M20" s="155"/>
      <c r="N20" s="156"/>
      <c r="O20" s="157" t="n">
        <v>2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20</v>
      </c>
      <c r="I21" s="160" t="n">
        <v>13</v>
      </c>
      <c r="J21" s="160" t="n">
        <v>19</v>
      </c>
      <c r="K21" s="161" t="n">
        <v>22813.49</v>
      </c>
      <c r="L21" s="161" t="n">
        <f aca="false">M21+N21</f>
        <v>24311.18</v>
      </c>
      <c r="M21" s="161" t="n">
        <v>12132.25</v>
      </c>
      <c r="N21" s="190" t="n">
        <v>12178.93</v>
      </c>
      <c r="O21" s="151" t="n">
        <v>18</v>
      </c>
      <c r="P21" s="149" t="n">
        <v>34926.57</v>
      </c>
      <c r="Q21" s="149" t="n">
        <f aca="false">R21+S21</f>
        <v>27767.21</v>
      </c>
      <c r="R21" s="149" t="n">
        <v>17792.17</v>
      </c>
      <c r="S21" s="198" t="n">
        <v>9975.04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1</v>
      </c>
      <c r="P22" s="155" t="n">
        <v>704.8</v>
      </c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15</v>
      </c>
      <c r="I23" s="148" t="n">
        <v>8</v>
      </c>
      <c r="J23" s="148" t="n">
        <v>8</v>
      </c>
      <c r="K23" s="148" t="n">
        <v>2378.7</v>
      </c>
      <c r="L23" s="149" t="n">
        <f aca="false">M23+N23</f>
        <v>2378.7</v>
      </c>
      <c r="M23" s="149" t="n">
        <v>2378.7</v>
      </c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/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18</v>
      </c>
      <c r="I25" s="160" t="n">
        <v>15</v>
      </c>
      <c r="J25" s="160" t="n">
        <v>20</v>
      </c>
      <c r="K25" s="161" t="n">
        <v>26169.32</v>
      </c>
      <c r="L25" s="161" t="n">
        <f aca="false">M25+N25</f>
        <v>21522.43</v>
      </c>
      <c r="M25" s="161" t="n">
        <v>21522.43</v>
      </c>
      <c r="N25" s="190"/>
      <c r="O25" s="151" t="n">
        <v>7</v>
      </c>
      <c r="P25" s="149" t="n">
        <v>12143.43</v>
      </c>
      <c r="Q25" s="149" t="n">
        <f aca="false">R25+S25</f>
        <v>10769.07</v>
      </c>
      <c r="R25" s="149" t="n">
        <v>10769.07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4</v>
      </c>
      <c r="I26" s="165" t="n">
        <v>2</v>
      </c>
      <c r="J26" s="165" t="n">
        <v>2</v>
      </c>
      <c r="K26" s="166" t="n">
        <v>1409.6</v>
      </c>
      <c r="L26" s="166" t="n">
        <f aca="false">M26+N26</f>
        <v>0</v>
      </c>
      <c r="M26" s="166"/>
      <c r="N26" s="156"/>
      <c r="O26" s="157" t="n">
        <v>9</v>
      </c>
      <c r="P26" s="155" t="n">
        <v>19558.2</v>
      </c>
      <c r="Q26" s="155" t="n">
        <f aca="false">R26+S26</f>
        <v>17267.6</v>
      </c>
      <c r="R26" s="155" t="n">
        <f aca="false">2995.4</f>
        <v>2995.4</v>
      </c>
      <c r="S26" s="156" t="n">
        <v>14272.2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/>
      <c r="N28" s="156" t="n">
        <v>4052.6</v>
      </c>
      <c r="O28" s="157" t="n">
        <v>6</v>
      </c>
      <c r="P28" s="155" t="n">
        <v>19381.4</v>
      </c>
      <c r="Q28" s="155" t="n">
        <f aca="false">R28+S28</f>
        <v>17243.65</v>
      </c>
      <c r="R28" s="155" t="n">
        <f aca="false">5286+2290.6-23.95</f>
        <v>7552.65</v>
      </c>
      <c r="S28" s="156" t="n">
        <f aca="false">2819.2+1762+5109.8</f>
        <v>9691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 t="s">
        <v>20</v>
      </c>
      <c r="D29" s="19"/>
      <c r="E29" s="19" t="s">
        <v>278</v>
      </c>
      <c r="F29" s="20"/>
      <c r="G29" s="146" t="s">
        <v>22</v>
      </c>
      <c r="H29" s="147" t="n">
        <v>7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11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 t="n">
        <v>3</v>
      </c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4</v>
      </c>
      <c r="I32" s="154" t="n">
        <v>1</v>
      </c>
      <c r="J32" s="154" t="n">
        <v>1</v>
      </c>
      <c r="K32" s="155" t="n">
        <v>704.8</v>
      </c>
      <c r="L32" s="155" t="n">
        <f aca="false">M32+N32</f>
        <v>704.8</v>
      </c>
      <c r="M32" s="155"/>
      <c r="N32" s="156" t="n">
        <v>704.8</v>
      </c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9</v>
      </c>
      <c r="I35" s="160" t="n">
        <v>6</v>
      </c>
      <c r="J35" s="160" t="n">
        <v>6</v>
      </c>
      <c r="K35" s="161" t="n">
        <v>9138.09</v>
      </c>
      <c r="L35" s="161" t="n">
        <f aca="false">M35+N35</f>
        <v>9138.09</v>
      </c>
      <c r="M35" s="161" t="n">
        <v>4815.55</v>
      </c>
      <c r="N35" s="190" t="n">
        <v>4322.54</v>
      </c>
      <c r="O35" s="151" t="n">
        <v>10</v>
      </c>
      <c r="P35" s="149" t="n">
        <v>39637.95</v>
      </c>
      <c r="Q35" s="149" t="n">
        <f aca="false">R35+S35</f>
        <v>39637.95</v>
      </c>
      <c r="R35" s="149" t="n">
        <v>22406.54</v>
      </c>
      <c r="S35" s="198" t="n">
        <v>17231.41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2</v>
      </c>
      <c r="J36" s="154" t="n">
        <v>2</v>
      </c>
      <c r="K36" s="155" t="n">
        <v>4933.6</v>
      </c>
      <c r="L36" s="155" t="n">
        <f aca="false">M36+N36</f>
        <v>1233.4</v>
      </c>
      <c r="M36" s="155"/>
      <c r="N36" s="156" t="n">
        <v>1233.4</v>
      </c>
      <c r="O36" s="157" t="n">
        <v>5</v>
      </c>
      <c r="P36" s="155" t="n">
        <v>13567.4</v>
      </c>
      <c r="Q36" s="155" t="n">
        <f aca="false">R36+S36</f>
        <v>10219.38</v>
      </c>
      <c r="R36" s="155" t="n">
        <f aca="false">53.85</f>
        <v>53.85</v>
      </c>
      <c r="S36" s="156" t="n">
        <f aca="false">7400.4+1233.4+1585.58-53.85</f>
        <v>10165.53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10</v>
      </c>
      <c r="I37" s="160" t="n">
        <v>9</v>
      </c>
      <c r="J37" s="160" t="n">
        <v>11</v>
      </c>
      <c r="K37" s="161" t="n">
        <v>26775.53</v>
      </c>
      <c r="L37" s="161" t="n">
        <f aca="false">M37+N37</f>
        <v>19151.8</v>
      </c>
      <c r="M37" s="161" t="n">
        <v>3765.39</v>
      </c>
      <c r="N37" s="190" t="n">
        <v>15386.41</v>
      </c>
      <c r="O37" s="151" t="n">
        <v>14</v>
      </c>
      <c r="P37" s="149" t="n">
        <v>54101.49</v>
      </c>
      <c r="Q37" s="149" t="n">
        <f aca="false">R37+S37</f>
        <v>54101.49</v>
      </c>
      <c r="R37" s="149" t="n">
        <v>48833.49</v>
      </c>
      <c r="S37" s="198" t="n">
        <v>5268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7</v>
      </c>
      <c r="I39" s="148" t="n">
        <v>1</v>
      </c>
      <c r="J39" s="148" t="n">
        <v>1</v>
      </c>
      <c r="K39" s="149" t="n">
        <v>621.99</v>
      </c>
      <c r="L39" s="149" t="n">
        <f aca="false">M39+N39</f>
        <v>621.99</v>
      </c>
      <c r="M39" s="149" t="n">
        <v>621.99</v>
      </c>
      <c r="N39" s="190"/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4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10849.9</v>
      </c>
      <c r="R40" s="166"/>
      <c r="S40" s="167" t="n">
        <v>10849.9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 t="n">
        <v>2</v>
      </c>
      <c r="I41" s="148" t="n">
        <v>1</v>
      </c>
      <c r="J41" s="148" t="n">
        <v>1</v>
      </c>
      <c r="K41" s="149" t="n">
        <v>352.4</v>
      </c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12699.01</v>
      </c>
      <c r="R41" s="149" t="n">
        <v>12699.01</v>
      </c>
      <c r="S41" s="198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3</v>
      </c>
      <c r="I42" s="154"/>
      <c r="J42" s="154"/>
      <c r="K42" s="155"/>
      <c r="L42" s="155" t="n">
        <f aca="false">M42+N42</f>
        <v>0</v>
      </c>
      <c r="M42" s="155" t="n">
        <v>0</v>
      </c>
      <c r="N42" s="156"/>
      <c r="O42" s="157" t="n">
        <v>4</v>
      </c>
      <c r="P42" s="155" t="n">
        <v>11981.6</v>
      </c>
      <c r="Q42" s="155" t="n">
        <f aca="false">R42+S42</f>
        <v>11981.6</v>
      </c>
      <c r="R42" s="155" t="n">
        <f aca="false">528.6</f>
        <v>528.6</v>
      </c>
      <c r="S42" s="156" t="n">
        <v>11453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5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43</v>
      </c>
      <c r="I47" s="148" t="n">
        <v>39</v>
      </c>
      <c r="J47" s="148" t="n">
        <v>39</v>
      </c>
      <c r="K47" s="149" t="n">
        <v>34720.47</v>
      </c>
      <c r="L47" s="149" t="n">
        <f aca="false">M47+N47</f>
        <v>34720.47</v>
      </c>
      <c r="M47" s="149" t="n">
        <v>14941.16</v>
      </c>
      <c r="N47" s="190" t="n">
        <v>19779.31</v>
      </c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1409.6</v>
      </c>
      <c r="M48" s="155"/>
      <c r="N48" s="156" t="n">
        <v>1409.6</v>
      </c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13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11601.93</v>
      </c>
      <c r="M49" s="161" t="n">
        <v>7082.9</v>
      </c>
      <c r="N49" s="190" t="n">
        <v>4519.03</v>
      </c>
      <c r="O49" s="151" t="n">
        <v>17</v>
      </c>
      <c r="P49" s="149" t="n">
        <v>61726.54</v>
      </c>
      <c r="Q49" s="149" t="n">
        <f aca="false">R49+S49</f>
        <v>47845.54</v>
      </c>
      <c r="R49" s="149" t="n">
        <v>38366.17</v>
      </c>
      <c r="S49" s="198" t="n">
        <v>9479.37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18745.92</v>
      </c>
      <c r="R51" s="161" t="n">
        <v>18745.92</v>
      </c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 t="n">
        <v>1</v>
      </c>
      <c r="J52" s="165" t="n">
        <v>1</v>
      </c>
      <c r="K52" s="166" t="n">
        <v>1057.2</v>
      </c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1409.6+3672.29+13038.8</f>
        <v>18120.69</v>
      </c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5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 t="n">
        <v>43131.21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 t="n">
        <v>2</v>
      </c>
      <c r="I54" s="165"/>
      <c r="J54" s="165"/>
      <c r="K54" s="166"/>
      <c r="L54" s="166" t="n">
        <f aca="false">M54+N54</f>
        <v>0</v>
      </c>
      <c r="M54" s="166"/>
      <c r="N54" s="156"/>
      <c r="O54" s="168" t="n">
        <v>5</v>
      </c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 t="n">
        <v>1</v>
      </c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 t="n">
        <v>2</v>
      </c>
      <c r="J56" s="154" t="n">
        <v>2</v>
      </c>
      <c r="K56" s="155" t="n">
        <v>1233.4</v>
      </c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11</v>
      </c>
      <c r="I57" s="160" t="n">
        <v>8</v>
      </c>
      <c r="J57" s="160" t="n">
        <v>8</v>
      </c>
      <c r="K57" s="161" t="n">
        <v>10651.29</v>
      </c>
      <c r="L57" s="161" t="n">
        <f aca="false">M57+N57</f>
        <v>5893.89</v>
      </c>
      <c r="M57" s="161" t="n">
        <v>5893.89</v>
      </c>
      <c r="N57" s="190"/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 t="s">
        <v>20</v>
      </c>
      <c r="D59" s="19"/>
      <c r="E59" s="19" t="s">
        <v>278</v>
      </c>
      <c r="F59" s="20"/>
      <c r="G59" s="146" t="s">
        <v>22</v>
      </c>
      <c r="H59" s="173" t="n">
        <v>7</v>
      </c>
      <c r="I59" s="148" t="n">
        <v>2</v>
      </c>
      <c r="J59" s="148" t="n">
        <v>2</v>
      </c>
      <c r="K59" s="149" t="n">
        <v>5127.42</v>
      </c>
      <c r="L59" s="149" t="n">
        <f aca="false">M59+N59</f>
        <v>3717.82</v>
      </c>
      <c r="M59" s="149" t="n">
        <v>3717.82</v>
      </c>
      <c r="N59" s="190"/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5</v>
      </c>
      <c r="I60" s="154" t="n">
        <v>5</v>
      </c>
      <c r="J60" s="154" t="n">
        <v>5</v>
      </c>
      <c r="K60" s="155" t="n">
        <v>4052.6</v>
      </c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9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7830.33</v>
      </c>
      <c r="M61" s="161" t="n">
        <v>2238.62</v>
      </c>
      <c r="N61" s="190" t="n">
        <v>5591.71</v>
      </c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4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 t="s">
        <v>20</v>
      </c>
      <c r="D65" s="78"/>
      <c r="E65" s="56" t="s">
        <v>279</v>
      </c>
      <c r="F65" s="38"/>
      <c r="G65" s="158" t="s">
        <v>22</v>
      </c>
      <c r="H65" s="169" t="n">
        <v>16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3383.04</v>
      </c>
      <c r="M65" s="161" t="n">
        <v>3383.04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3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3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 t="n">
        <v>881</v>
      </c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 t="s">
        <v>33</v>
      </c>
      <c r="D73" s="19" t="s">
        <v>280</v>
      </c>
      <c r="E73" s="19" t="s">
        <v>259</v>
      </c>
      <c r="F73" s="20"/>
      <c r="G73" s="146" t="s">
        <v>22</v>
      </c>
      <c r="H73" s="173" t="n">
        <v>9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22</v>
      </c>
      <c r="I74" s="154" t="n">
        <v>8</v>
      </c>
      <c r="J74" s="154" t="n">
        <v>8</v>
      </c>
      <c r="K74" s="155" t="n">
        <v>9556.2</v>
      </c>
      <c r="L74" s="155" t="n">
        <f aca="false">M74+N74</f>
        <v>0</v>
      </c>
      <c r="M74" s="155"/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4510.72</v>
      </c>
      <c r="M75" s="161" t="n">
        <v>4510.72</v>
      </c>
      <c r="N75" s="190"/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2</v>
      </c>
      <c r="J76" s="165" t="n">
        <v>2</v>
      </c>
      <c r="K76" s="166" t="n">
        <v>1409.6</v>
      </c>
      <c r="L76" s="166" t="n">
        <f aca="false">M76+N76</f>
        <v>704.8</v>
      </c>
      <c r="M76" s="166"/>
      <c r="N76" s="156" t="n">
        <v>704.8</v>
      </c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1162.92</v>
      </c>
      <c r="L77" s="149" t="n">
        <f aca="false">M77+N77</f>
        <v>1162.92</v>
      </c>
      <c r="M77" s="149"/>
      <c r="N77" s="190" t="n">
        <v>1162.92</v>
      </c>
      <c r="O77" s="151" t="n">
        <v>8</v>
      </c>
      <c r="P77" s="149" t="n">
        <v>28069.07</v>
      </c>
      <c r="Q77" s="149" t="n">
        <f aca="false">R77+S77</f>
        <v>28069.07</v>
      </c>
      <c r="R77" s="149" t="n">
        <v>16379.75</v>
      </c>
      <c r="S77" s="190" t="n">
        <v>11689.32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2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7</v>
      </c>
      <c r="I81" s="148" t="n">
        <v>2</v>
      </c>
      <c r="J81" s="148" t="n">
        <v>3</v>
      </c>
      <c r="K81" s="149" t="n">
        <v>3057.07</v>
      </c>
      <c r="L81" s="149" t="n">
        <f aca="false">M81+N81</f>
        <v>3057.07</v>
      </c>
      <c r="M81" s="149" t="n">
        <v>1573.47</v>
      </c>
      <c r="N81" s="190" t="n">
        <v>1483.6</v>
      </c>
      <c r="O81" s="151" t="n">
        <v>5</v>
      </c>
      <c r="P81" s="149" t="n">
        <v>14207.76</v>
      </c>
      <c r="Q81" s="149" t="n">
        <f aca="false">R81+S81</f>
        <v>14207.76</v>
      </c>
      <c r="R81" s="149" t="n">
        <v>8219.9</v>
      </c>
      <c r="S81" s="190" t="n">
        <v>5987.86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33</v>
      </c>
      <c r="I82" s="165" t="n">
        <v>21</v>
      </c>
      <c r="J82" s="165" t="n">
        <v>21</v>
      </c>
      <c r="K82" s="166" t="n">
        <v>23991.8</v>
      </c>
      <c r="L82" s="166" t="n">
        <v>1938.2</v>
      </c>
      <c r="M82" s="166" t="n">
        <v>1938.2</v>
      </c>
      <c r="N82" s="156"/>
      <c r="O82" s="168" t="n">
        <v>25</v>
      </c>
      <c r="P82" s="166" t="n">
        <v>62948.62</v>
      </c>
      <c r="Q82" s="166" t="n">
        <v>12245.9</v>
      </c>
      <c r="R82" s="166" t="n">
        <v>12245.9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5</v>
      </c>
      <c r="I83" s="148" t="n">
        <v>2</v>
      </c>
      <c r="J83" s="148" t="n">
        <v>3</v>
      </c>
      <c r="K83" s="149" t="n">
        <v>5340.62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6</v>
      </c>
      <c r="I84" s="165" t="n">
        <v>3</v>
      </c>
      <c r="J84" s="165" t="n">
        <v>3</v>
      </c>
      <c r="K84" s="166" t="n">
        <v>6343.2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5</v>
      </c>
      <c r="I85" s="148" t="n">
        <v>2</v>
      </c>
      <c r="J85" s="148" t="n">
        <v>2</v>
      </c>
      <c r="K85" s="149" t="n">
        <v>4105.29</v>
      </c>
      <c r="L85" s="149" t="n">
        <f aca="false">M85+N85</f>
        <v>4105.29</v>
      </c>
      <c r="M85" s="149" t="n">
        <v>888.19</v>
      </c>
      <c r="N85" s="190" t="n">
        <v>3217.1</v>
      </c>
      <c r="O85" s="151" t="n">
        <v>13</v>
      </c>
      <c r="P85" s="149" t="n">
        <v>44101.84</v>
      </c>
      <c r="Q85" s="149" t="n">
        <f aca="false">R85+S85</f>
        <v>21614.18</v>
      </c>
      <c r="R85" s="149" t="n">
        <v>19442.54</v>
      </c>
      <c r="S85" s="190" t="n">
        <v>2171.64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5</v>
      </c>
      <c r="I86" s="154" t="n">
        <v>2</v>
      </c>
      <c r="J86" s="154" t="n">
        <v>2</v>
      </c>
      <c r="K86" s="235" t="n">
        <v>4304</v>
      </c>
      <c r="L86" s="155" t="n">
        <f aca="false">M86+N86</f>
        <v>2819.2</v>
      </c>
      <c r="M86" s="155"/>
      <c r="N86" s="156" t="n">
        <v>2819.2</v>
      </c>
      <c r="O86" s="157"/>
      <c r="P86" s="155" t="n">
        <v>5462.2</v>
      </c>
      <c r="Q86" s="155" t="n">
        <f aca="false">R86+S86</f>
        <v>4405</v>
      </c>
      <c r="R86" s="155"/>
      <c r="S86" s="156" t="n">
        <v>4405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7836.01</v>
      </c>
      <c r="R87" s="161" t="n">
        <v>5521.12</v>
      </c>
      <c r="S87" s="190" t="n">
        <v>2314.89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6</v>
      </c>
      <c r="I88" s="154" t="n">
        <v>1</v>
      </c>
      <c r="J88" s="154" t="n">
        <v>1</v>
      </c>
      <c r="K88" s="155" t="n">
        <v>1409.6</v>
      </c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2948.8</v>
      </c>
      <c r="L89" s="161" t="n">
        <f aca="false">M89+N89</f>
        <v>2948.8</v>
      </c>
      <c r="M89" s="161"/>
      <c r="N89" s="190" t="n">
        <v>2948.8</v>
      </c>
      <c r="O89" s="163" t="n">
        <v>5</v>
      </c>
      <c r="P89" s="161" t="n">
        <v>34297.64</v>
      </c>
      <c r="Q89" s="161" t="n">
        <f aca="false">R89+S89</f>
        <v>34299.64</v>
      </c>
      <c r="R89" s="161" t="n">
        <v>27324.13</v>
      </c>
      <c r="S89" s="190" t="n">
        <v>6975.51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2</v>
      </c>
      <c r="I90" s="165" t="n">
        <v>1</v>
      </c>
      <c r="J90" s="165" t="n">
        <v>1</v>
      </c>
      <c r="K90" s="166" t="n">
        <v>704.8</v>
      </c>
      <c r="L90" s="161" t="n">
        <f aca="false">M90+N90</f>
        <v>704.8</v>
      </c>
      <c r="M90" s="166" t="n">
        <v>0</v>
      </c>
      <c r="N90" s="156" t="n">
        <v>704.8</v>
      </c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3347.8+8641.68</f>
        <v>11989.48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4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2277.26</v>
      </c>
      <c r="M91" s="149" t="n">
        <v>2277.26</v>
      </c>
      <c r="N91" s="190"/>
      <c r="O91" s="151" t="n">
        <v>3</v>
      </c>
      <c r="P91" s="149" t="n">
        <v>10069.05</v>
      </c>
      <c r="Q91" s="149" t="n">
        <f aca="false">R91+S91</f>
        <v>10069.05</v>
      </c>
      <c r="R91" s="149" t="n">
        <v>3239.04</v>
      </c>
      <c r="S91" s="190" t="n">
        <v>6830.01</v>
      </c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5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 t="n">
        <v>2290.6</v>
      </c>
      <c r="N92" s="156" t="n">
        <v>2819.2</v>
      </c>
      <c r="O92" s="157" t="n">
        <v>2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23</v>
      </c>
      <c r="I93" s="160" t="n">
        <v>15</v>
      </c>
      <c r="J93" s="160" t="n">
        <v>16</v>
      </c>
      <c r="K93" s="161" t="n">
        <v>21031.86</v>
      </c>
      <c r="L93" s="161" t="n">
        <f aca="false">M93+N93</f>
        <v>11782.59</v>
      </c>
      <c r="M93" s="161" t="n">
        <v>10561.52</v>
      </c>
      <c r="N93" s="190" t="n">
        <v>1221.07</v>
      </c>
      <c r="O93" s="163" t="n">
        <v>22</v>
      </c>
      <c r="P93" s="161" t="n">
        <v>54906.32</v>
      </c>
      <c r="Q93" s="161" t="n">
        <f aca="false">R93+S93</f>
        <v>42638.01</v>
      </c>
      <c r="R93" s="161" t="n">
        <v>40347.41</v>
      </c>
      <c r="S93" s="190" t="n">
        <v>2290.6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21936.9</v>
      </c>
      <c r="R94" s="166" t="n">
        <v>1585.8</v>
      </c>
      <c r="S94" s="156" t="n">
        <v>20351.1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13</v>
      </c>
      <c r="I95" s="148" t="n">
        <v>9</v>
      </c>
      <c r="J95" s="148" t="n">
        <v>9</v>
      </c>
      <c r="K95" s="149" t="n">
        <v>5563.84</v>
      </c>
      <c r="L95" s="149" t="n">
        <f aca="false">M95+N95</f>
        <v>5035.24</v>
      </c>
      <c r="M95" s="149" t="n">
        <v>5035.24</v>
      </c>
      <c r="N95" s="190"/>
      <c r="O95" s="151" t="n">
        <v>2</v>
      </c>
      <c r="P95" s="149" t="n">
        <v>12380.09</v>
      </c>
      <c r="Q95" s="149" t="n">
        <f aca="false">R95+S95</f>
        <v>12380.09</v>
      </c>
      <c r="R95" s="149" t="n">
        <v>12380.09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7</v>
      </c>
      <c r="P96" s="166" t="n">
        <v>8457.6</v>
      </c>
      <c r="Q96" s="166" t="n">
        <f aca="false">R96+S96</f>
        <v>6431.3</v>
      </c>
      <c r="R96" s="166" t="n">
        <f aca="false">1585.8</f>
        <v>1585.8</v>
      </c>
      <c r="S96" s="156" t="n">
        <v>4845.5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8</v>
      </c>
      <c r="I97" s="148" t="n">
        <v>7</v>
      </c>
      <c r="J97" s="148" t="n">
        <v>7</v>
      </c>
      <c r="K97" s="149" t="n">
        <v>4148.63</v>
      </c>
      <c r="L97" s="149" t="n">
        <f aca="false">M97+N97</f>
        <v>4148.63</v>
      </c>
      <c r="M97" s="149" t="n">
        <v>4148.63</v>
      </c>
      <c r="N97" s="190"/>
      <c r="O97" s="151" t="n">
        <v>5</v>
      </c>
      <c r="P97" s="149" t="n">
        <v>8651.42</v>
      </c>
      <c r="Q97" s="149" t="n">
        <f aca="false">R97+S97</f>
        <v>8651.42</v>
      </c>
      <c r="R97" s="149" t="n">
        <v>8651.42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5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8</v>
      </c>
      <c r="P98" s="182" t="n">
        <v>19029.6</v>
      </c>
      <c r="Q98" s="182" t="n">
        <f aca="false">R98+S98</f>
        <v>8986.2</v>
      </c>
      <c r="R98" s="182" t="n">
        <f aca="false">1057.2+2290.6+1145.3</f>
        <v>4493.1</v>
      </c>
      <c r="S98" s="167" t="n">
        <v>4493.1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 t="n">
        <v>2</v>
      </c>
      <c r="J99" s="154" t="n">
        <v>2</v>
      </c>
      <c r="K99" s="155" t="n">
        <v>9338.6</v>
      </c>
      <c r="L99" s="155" t="n">
        <f aca="false">M99+N99</f>
        <v>0</v>
      </c>
      <c r="M99" s="155"/>
      <c r="N99" s="156"/>
      <c r="O99" s="157" t="n">
        <v>4</v>
      </c>
      <c r="P99" s="155" t="n">
        <v>8281.4</v>
      </c>
      <c r="Q99" s="155" t="n">
        <v>3524</v>
      </c>
      <c r="R99" s="155" t="n">
        <v>3524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5452.69</v>
      </c>
      <c r="M100" s="161" t="n">
        <v>5452.69</v>
      </c>
      <c r="N100" s="190"/>
      <c r="O100" s="163" t="n">
        <v>8</v>
      </c>
      <c r="P100" s="161" t="n">
        <v>35917.6</v>
      </c>
      <c r="Q100" s="161" t="n">
        <f aca="false">R100+S100</f>
        <v>29718.63</v>
      </c>
      <c r="R100" s="161" t="n">
        <v>29718.63</v>
      </c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5</v>
      </c>
      <c r="I102" s="148" t="n">
        <v>3</v>
      </c>
      <c r="J102" s="148" t="n">
        <v>3</v>
      </c>
      <c r="K102" s="149" t="n">
        <v>5612.43</v>
      </c>
      <c r="L102" s="149" t="n">
        <f aca="false">M102+N102</f>
        <v>4345.8</v>
      </c>
      <c r="M102" s="149" t="n">
        <v>3473.61</v>
      </c>
      <c r="N102" s="190" t="n">
        <v>872.19</v>
      </c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12611.29</v>
      </c>
      <c r="M104" s="149" t="n">
        <v>12611.29</v>
      </c>
      <c r="N104" s="190"/>
      <c r="O104" s="151" t="n">
        <v>2</v>
      </c>
      <c r="P104" s="149" t="n">
        <v>8372.97</v>
      </c>
      <c r="Q104" s="149" t="n">
        <f aca="false">R104+S104</f>
        <v>8372.97</v>
      </c>
      <c r="R104" s="149" t="n">
        <v>8372.97</v>
      </c>
      <c r="S104" s="19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 t="n">
        <v>1</v>
      </c>
      <c r="J105" s="165" t="n">
        <v>1</v>
      </c>
      <c r="K105" s="166" t="n">
        <v>2114.4</v>
      </c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10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6281.55</v>
      </c>
      <c r="M108" s="161" t="n">
        <v>6281.55</v>
      </c>
      <c r="N108" s="190"/>
      <c r="O108" s="163" t="n">
        <v>3</v>
      </c>
      <c r="P108" s="161" t="n">
        <v>10585.46</v>
      </c>
      <c r="Q108" s="161" t="n">
        <f aca="false">R108+S108</f>
        <v>10585.46</v>
      </c>
      <c r="R108" s="161" t="n">
        <v>5828.06</v>
      </c>
      <c r="S108" s="190" t="n">
        <v>4757.4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4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22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12299.99</v>
      </c>
      <c r="M110" s="161" t="n">
        <v>1569.94</v>
      </c>
      <c r="N110" s="190" t="n">
        <v>10730.05</v>
      </c>
      <c r="O110" s="163" t="n">
        <v>20</v>
      </c>
      <c r="P110" s="161" t="n">
        <v>33342.82</v>
      </c>
      <c r="Q110" s="161" t="n">
        <f aca="false">R110+S110</f>
        <v>32814.22</v>
      </c>
      <c r="R110" s="161" t="n">
        <v>24550.45</v>
      </c>
      <c r="S110" s="190" t="n">
        <v>8263.77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 t="n">
        <v>1</v>
      </c>
      <c r="J112" s="148" t="n">
        <v>1</v>
      </c>
      <c r="K112" s="149" t="n">
        <v>528.6</v>
      </c>
      <c r="L112" s="149" t="n">
        <f aca="false">M112+N112</f>
        <v>528.6</v>
      </c>
      <c r="M112" s="149"/>
      <c r="N112" s="190" t="n">
        <v>528.6</v>
      </c>
      <c r="O112" s="151" t="n">
        <v>1</v>
      </c>
      <c r="P112" s="149" t="n">
        <v>1162.92</v>
      </c>
      <c r="Q112" s="149" t="n">
        <f aca="false">R112+S112</f>
        <v>1162.92</v>
      </c>
      <c r="R112" s="149"/>
      <c r="S112" s="190" t="n">
        <v>1162.92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17</v>
      </c>
      <c r="I114" s="148" t="n">
        <v>12</v>
      </c>
      <c r="J114" s="148" t="n">
        <v>14</v>
      </c>
      <c r="K114" s="149" t="n">
        <v>15787.05</v>
      </c>
      <c r="L114" s="149" t="n">
        <f aca="false">M114+N114</f>
        <v>11020.18</v>
      </c>
      <c r="M114" s="149" t="n">
        <v>6747.33</v>
      </c>
      <c r="N114" s="190" t="n">
        <v>4272.85</v>
      </c>
      <c r="O114" s="151" t="n">
        <v>15</v>
      </c>
      <c r="P114" s="149" t="n">
        <v>19146</v>
      </c>
      <c r="Q114" s="149" t="n">
        <f aca="false">R114+S114</f>
        <v>12627.56</v>
      </c>
      <c r="R114" s="149" t="n">
        <v>8224.14</v>
      </c>
      <c r="S114" s="190" t="n">
        <v>4403.42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18</v>
      </c>
      <c r="I115" s="165" t="n">
        <v>6</v>
      </c>
      <c r="J115" s="165" t="n">
        <v>6</v>
      </c>
      <c r="K115" s="166" t="n">
        <v>7752.8</v>
      </c>
      <c r="L115" s="166" t="n">
        <v>2995.4</v>
      </c>
      <c r="M115" s="166" t="n">
        <v>2995.4</v>
      </c>
      <c r="N115" s="156"/>
      <c r="O115" s="168" t="n">
        <v>10</v>
      </c>
      <c r="P115" s="166" t="n">
        <v>27222.9</v>
      </c>
      <c r="Q115" s="166" t="n">
        <v>12950.7</v>
      </c>
      <c r="R115" s="166" t="n">
        <v>12950.7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17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17842.41</v>
      </c>
      <c r="M116" s="149" t="n">
        <v>8527.08</v>
      </c>
      <c r="N116" s="190" t="n">
        <v>9315.33</v>
      </c>
      <c r="O116" s="151" t="n">
        <v>14</v>
      </c>
      <c r="P116" s="149" t="n">
        <v>48557.24</v>
      </c>
      <c r="Q116" s="149" t="n">
        <f aca="false">R116+S116</f>
        <v>51532.2</v>
      </c>
      <c r="R116" s="149" t="n">
        <v>24491.76</v>
      </c>
      <c r="S116" s="190" t="n">
        <v>27040.44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17</v>
      </c>
      <c r="I118" s="160" t="n">
        <v>5</v>
      </c>
      <c r="J118" s="160" t="n">
        <v>5</v>
      </c>
      <c r="K118" s="161" t="n">
        <v>11259.18</v>
      </c>
      <c r="L118" s="161" t="n">
        <f aca="false">M118+N118</f>
        <v>4915.98</v>
      </c>
      <c r="M118" s="161" t="n">
        <v>3805.92</v>
      </c>
      <c r="N118" s="190" t="n">
        <v>1110.06</v>
      </c>
      <c r="O118" s="163" t="n">
        <v>9</v>
      </c>
      <c r="P118" s="161" t="n">
        <v>59549.41</v>
      </c>
      <c r="Q118" s="161" t="n">
        <f aca="false">R118+S118</f>
        <v>55873.9</v>
      </c>
      <c r="R118" s="161" t="n">
        <v>27118.06</v>
      </c>
      <c r="S118" s="190" t="n">
        <v>28755.84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2</v>
      </c>
      <c r="K120" s="166" t="n">
        <v>4193.56</v>
      </c>
      <c r="L120" s="166" t="n">
        <f aca="false">M120+N120</f>
        <v>2290.6</v>
      </c>
      <c r="M120" s="166" t="n">
        <f aca="false">2266.65+23.95</f>
        <v>2290.6</v>
      </c>
      <c r="N120" s="156"/>
      <c r="O120" s="168" t="n">
        <v>7</v>
      </c>
      <c r="P120" s="166" t="n">
        <v>29143.12</v>
      </c>
      <c r="Q120" s="166" t="n">
        <f aca="false">R120+S120</f>
        <v>29167.43</v>
      </c>
      <c r="R120" s="166" t="n">
        <v>29167.43</v>
      </c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6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5</v>
      </c>
      <c r="J123" s="160" t="n">
        <v>6</v>
      </c>
      <c r="K123" s="161" t="n">
        <v>5246.27</v>
      </c>
      <c r="L123" s="161" t="n">
        <f aca="false">M123+N123</f>
        <v>2133.78</v>
      </c>
      <c r="M123" s="161" t="n">
        <v>1436.03</v>
      </c>
      <c r="N123" s="190" t="n">
        <v>697.75</v>
      </c>
      <c r="O123" s="163" t="n">
        <v>8</v>
      </c>
      <c r="P123" s="161" t="n">
        <v>22461.42</v>
      </c>
      <c r="Q123" s="161" t="n">
        <f aca="false">R123+S123</f>
        <v>17787.53</v>
      </c>
      <c r="R123" s="161" t="n">
        <v>7694.53</v>
      </c>
      <c r="S123" s="190" t="n">
        <v>10093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10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4</v>
      </c>
      <c r="P124" s="155" t="n">
        <v>6871.8</v>
      </c>
      <c r="Q124" s="155" t="n">
        <f aca="false">R124+S124</f>
        <v>1585.8</v>
      </c>
      <c r="R124" s="155" t="n">
        <v>1585.8</v>
      </c>
      <c r="S124" s="156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6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2223.64</v>
      </c>
      <c r="M127" s="149" t="n">
        <v>1569.94</v>
      </c>
      <c r="N127" s="190" t="n">
        <v>653.7</v>
      </c>
      <c r="O127" s="151" t="n">
        <v>6</v>
      </c>
      <c r="P127" s="149" t="n">
        <v>19174.92</v>
      </c>
      <c r="Q127" s="149" t="n">
        <f aca="false">R127+S127</f>
        <v>19174.92</v>
      </c>
      <c r="R127" s="149" t="n">
        <v>14088.14</v>
      </c>
      <c r="S127" s="190" t="n">
        <v>5086.78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15</v>
      </c>
      <c r="I128" s="165" t="n">
        <v>8</v>
      </c>
      <c r="J128" s="165" t="n">
        <v>8</v>
      </c>
      <c r="K128" s="166" t="n">
        <v>5109.8</v>
      </c>
      <c r="L128" s="166" t="n">
        <v>1409.6</v>
      </c>
      <c r="M128" s="166" t="n">
        <v>1409.6</v>
      </c>
      <c r="N128" s="156"/>
      <c r="O128" s="168" t="n">
        <v>11</v>
      </c>
      <c r="P128" s="166" t="n">
        <v>28192</v>
      </c>
      <c r="Q128" s="166" t="n">
        <v>4933.6</v>
      </c>
      <c r="R128" s="166" t="n">
        <v>4933.6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18</v>
      </c>
      <c r="I129" s="148" t="n">
        <v>6</v>
      </c>
      <c r="J129" s="148" t="n">
        <v>7</v>
      </c>
      <c r="K129" s="149" t="n">
        <v>14834.62</v>
      </c>
      <c r="L129" s="149" t="n">
        <f aca="false">M129+N129</f>
        <v>14834.62</v>
      </c>
      <c r="M129" s="149" t="n">
        <v>6364.34</v>
      </c>
      <c r="N129" s="190" t="n">
        <v>8470.28</v>
      </c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10</v>
      </c>
      <c r="I130" s="188" t="n">
        <v>4</v>
      </c>
      <c r="J130" s="188" t="n">
        <v>4</v>
      </c>
      <c r="K130" s="189" t="n">
        <v>4228.8</v>
      </c>
      <c r="L130" s="189" t="n">
        <f aca="false">M130+N130</f>
        <v>1233.4</v>
      </c>
      <c r="M130" s="189"/>
      <c r="N130" s="167" t="n">
        <f aca="false">704.8+528.6</f>
        <v>1233.4</v>
      </c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5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 t="n">
        <v>1</v>
      </c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21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4493.1</v>
      </c>
      <c r="M134" s="161" t="n">
        <v>4493.1</v>
      </c>
      <c r="N134" s="190"/>
      <c r="O134" s="163" t="n">
        <v>21</v>
      </c>
      <c r="P134" s="161" t="n">
        <v>35029.01</v>
      </c>
      <c r="Q134" s="161" t="n">
        <f aca="false">R134+S134</f>
        <v>27295.59</v>
      </c>
      <c r="R134" s="161" t="n">
        <v>27295.59</v>
      </c>
      <c r="S134" s="190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7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2643</v>
      </c>
      <c r="M135" s="182"/>
      <c r="N135" s="167" t="n">
        <v>2643</v>
      </c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3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3968.46</v>
      </c>
      <c r="M137" s="149" t="n">
        <v>3968.46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13</v>
      </c>
      <c r="I139" s="160" t="n">
        <v>11</v>
      </c>
      <c r="J139" s="160" t="n">
        <v>11</v>
      </c>
      <c r="K139" s="161" t="n">
        <v>14377.92</v>
      </c>
      <c r="L139" s="161" t="n">
        <f aca="false">M139+N139</f>
        <v>14377.92</v>
      </c>
      <c r="M139" s="161" t="n">
        <v>1057.2</v>
      </c>
      <c r="N139" s="190" t="n">
        <v>13320.72</v>
      </c>
      <c r="O139" s="163" t="n">
        <v>6</v>
      </c>
      <c r="P139" s="161" t="n">
        <v>20530.3</v>
      </c>
      <c r="Q139" s="161" t="n">
        <f aca="false">R139+S139</f>
        <v>20530.3</v>
      </c>
      <c r="R139" s="161" t="n">
        <v>7521.1</v>
      </c>
      <c r="S139" s="190" t="n">
        <v>13009.2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3700.2</v>
      </c>
      <c r="M140" s="166"/>
      <c r="N140" s="156" t="n">
        <v>3700.2</v>
      </c>
      <c r="O140" s="168" t="n">
        <v>3</v>
      </c>
      <c r="P140" s="166" t="n">
        <v>5286</v>
      </c>
      <c r="Q140" s="166" t="n">
        <f aca="false">R140+S140</f>
        <v>6519.4</v>
      </c>
      <c r="R140" s="166" t="n">
        <f aca="false">2995.4</f>
        <v>2995.4</v>
      </c>
      <c r="S140" s="156" t="n">
        <f aca="false">6519.4-2995.4</f>
        <v>3524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1082.63</v>
      </c>
      <c r="M141" s="149"/>
      <c r="N141" s="190" t="n">
        <v>1082.63</v>
      </c>
      <c r="O141" s="151" t="n">
        <v>5</v>
      </c>
      <c r="P141" s="149" t="n">
        <v>20672.92</v>
      </c>
      <c r="Q141" s="149" t="n">
        <f aca="false">R141+S141</f>
        <v>19139.98</v>
      </c>
      <c r="R141" s="149" t="n">
        <v>19139.98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 t="n">
        <f aca="false">1762</f>
        <v>1762</v>
      </c>
      <c r="S142" s="156" t="n">
        <v>528.6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 t="n">
        <v>2</v>
      </c>
      <c r="P143" s="161" t="n">
        <v>20088.08</v>
      </c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26" t="s">
        <v>281</v>
      </c>
      <c r="G144" s="152" t="s">
        <v>26</v>
      </c>
      <c r="H144" s="153" t="n">
        <v>2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 t="n">
        <v>2</v>
      </c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18435.62</v>
      </c>
      <c r="R145" s="161" t="n">
        <v>14967.24</v>
      </c>
      <c r="S145" s="190" t="n">
        <v>3468.38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5682.4</v>
      </c>
      <c r="R146" s="166" t="n">
        <f aca="false">881</f>
        <v>881</v>
      </c>
      <c r="S146" s="156" t="n">
        <v>4801.4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7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11519.11</v>
      </c>
      <c r="M147" s="149" t="n">
        <v>1895.47</v>
      </c>
      <c r="N147" s="190" t="n">
        <v>9623.64</v>
      </c>
      <c r="O147" s="151" t="n">
        <v>18</v>
      </c>
      <c r="P147" s="149" t="n">
        <v>41995.38</v>
      </c>
      <c r="Q147" s="149" t="n">
        <f aca="false">R147+S147</f>
        <v>37928.86</v>
      </c>
      <c r="R147" s="149" t="n">
        <v>22194.99</v>
      </c>
      <c r="S147" s="190" t="n">
        <v>15733.87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9</v>
      </c>
      <c r="I148" s="165" t="n">
        <v>6</v>
      </c>
      <c r="J148" s="165" t="n">
        <v>6</v>
      </c>
      <c r="K148" s="166" t="n">
        <v>21743.08</v>
      </c>
      <c r="L148" s="166" t="n">
        <f aca="false">M148+N148</f>
        <v>6343.2</v>
      </c>
      <c r="M148" s="166"/>
      <c r="N148" s="156" t="n">
        <f aca="false">4581.2+1762</f>
        <v>6343.2</v>
      </c>
      <c r="O148" s="157" t="n">
        <v>11</v>
      </c>
      <c r="P148" s="155" t="n">
        <v>30218.3</v>
      </c>
      <c r="Q148" s="155" t="n">
        <f aca="false">R148+S148</f>
        <v>30817.38</v>
      </c>
      <c r="R148" s="155" t="n">
        <v>15329.4</v>
      </c>
      <c r="S148" s="156" t="n">
        <v>15487.98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20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16881.73</v>
      </c>
      <c r="M149" s="149" t="n">
        <v>9291.07</v>
      </c>
      <c r="N149" s="190" t="n">
        <v>7590.66</v>
      </c>
      <c r="O149" s="163" t="n">
        <v>13</v>
      </c>
      <c r="P149" s="161" t="n">
        <v>44245.85</v>
      </c>
      <c r="Q149" s="161" t="n">
        <f aca="false">R149+S149</f>
        <v>44245.85</v>
      </c>
      <c r="R149" s="161" t="n">
        <v>19724.71</v>
      </c>
      <c r="S149" s="190" t="n">
        <v>24521.14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196</v>
      </c>
      <c r="G150" s="164" t="s">
        <v>26</v>
      </c>
      <c r="H150" s="175" t="n">
        <v>2</v>
      </c>
      <c r="I150" s="165" t="n">
        <v>1</v>
      </c>
      <c r="J150" s="165" t="n">
        <v>0</v>
      </c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240" t="s">
        <v>282</v>
      </c>
      <c r="C151" s="19" t="s">
        <v>33</v>
      </c>
      <c r="D151" s="19" t="s">
        <v>283</v>
      </c>
      <c r="E151" s="19" t="s">
        <v>284</v>
      </c>
      <c r="F151" s="20"/>
      <c r="G151" s="146" t="s">
        <v>22</v>
      </c>
      <c r="H151" s="173"/>
      <c r="I151" s="148"/>
      <c r="J151" s="148"/>
      <c r="K151" s="241"/>
      <c r="L151" s="241" t="n">
        <f aca="false">M151+N151</f>
        <v>0</v>
      </c>
      <c r="M151" s="241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240"/>
      <c r="C152" s="19"/>
      <c r="D152" s="19"/>
      <c r="E152" s="19"/>
      <c r="F152" s="26" t="s">
        <v>285</v>
      </c>
      <c r="G152" s="152" t="s">
        <v>23</v>
      </c>
      <c r="H152" s="174" t="n">
        <v>2</v>
      </c>
      <c r="I152" s="154"/>
      <c r="J152" s="154"/>
      <c r="K152" s="242"/>
      <c r="L152" s="242" t="n">
        <f aca="false">M152+N152</f>
        <v>0</v>
      </c>
      <c r="M152" s="242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112</v>
      </c>
      <c r="C153" s="35" t="s">
        <v>20</v>
      </c>
      <c r="D153" s="35" t="s">
        <v>197</v>
      </c>
      <c r="E153" s="35" t="s">
        <v>25</v>
      </c>
      <c r="F153" s="36"/>
      <c r="G153" s="158" t="s">
        <v>22</v>
      </c>
      <c r="H153" s="159" t="n">
        <v>11</v>
      </c>
      <c r="I153" s="160" t="n">
        <v>6</v>
      </c>
      <c r="J153" s="160" t="n">
        <v>7</v>
      </c>
      <c r="K153" s="140" t="n">
        <v>23292.74</v>
      </c>
      <c r="L153" s="140" t="n">
        <f aca="false">M153+N153</f>
        <v>23292.74</v>
      </c>
      <c r="M153" s="140" t="n">
        <v>9984.81</v>
      </c>
      <c r="N153" s="190" t="n">
        <v>13307.93</v>
      </c>
      <c r="O153" s="163" t="n">
        <v>4</v>
      </c>
      <c r="P153" s="161" t="n">
        <v>20244.62</v>
      </c>
      <c r="Q153" s="161" t="n">
        <f aca="false">R153+S153</f>
        <v>20244.62</v>
      </c>
      <c r="R153" s="161" t="n">
        <v>1198.16</v>
      </c>
      <c r="S153" s="190" t="n">
        <v>19046.46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26" t="s">
        <v>198</v>
      </c>
      <c r="G154" s="152" t="s">
        <v>26</v>
      </c>
      <c r="H154" s="171" t="n">
        <v>3</v>
      </c>
      <c r="I154" s="165"/>
      <c r="J154" s="165" t="n">
        <v>1</v>
      </c>
      <c r="K154" s="166" t="n">
        <v>1762</v>
      </c>
      <c r="L154" s="166" t="n">
        <f aca="false">M154+N154</f>
        <v>0</v>
      </c>
      <c r="M154" s="166"/>
      <c r="N154" s="156"/>
      <c r="O154" s="168" t="n">
        <v>1</v>
      </c>
      <c r="P154" s="166" t="n">
        <v>2114.4</v>
      </c>
      <c r="Q154" s="166" t="n">
        <f aca="false">R154+S154</f>
        <v>2114.4</v>
      </c>
      <c r="R154" s="166"/>
      <c r="S154" s="156" t="n">
        <v>2114.4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113</v>
      </c>
      <c r="C155" s="19" t="s">
        <v>20</v>
      </c>
      <c r="D155" s="19"/>
      <c r="E155" s="19" t="s">
        <v>31</v>
      </c>
      <c r="F155" s="36"/>
      <c r="G155" s="146" t="s">
        <v>22</v>
      </c>
      <c r="H155" s="159" t="n">
        <v>10</v>
      </c>
      <c r="I155" s="148" t="n">
        <v>6</v>
      </c>
      <c r="J155" s="148" t="n">
        <v>7</v>
      </c>
      <c r="K155" s="149" t="n">
        <v>13847.41</v>
      </c>
      <c r="L155" s="149" t="n">
        <f aca="false">M155+N155</f>
        <v>12303.8</v>
      </c>
      <c r="M155" s="149" t="n">
        <v>7903.02</v>
      </c>
      <c r="N155" s="190" t="n">
        <v>4400.78</v>
      </c>
      <c r="O155" s="151" t="n">
        <v>6</v>
      </c>
      <c r="P155" s="149" t="n">
        <v>12527.12</v>
      </c>
      <c r="Q155" s="149" t="n">
        <f aca="false">R155+S155</f>
        <v>9035.03</v>
      </c>
      <c r="R155" s="149" t="n">
        <v>3839.24</v>
      </c>
      <c r="S155" s="190" t="n">
        <v>5195.79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152" t="s">
        <v>26</v>
      </c>
      <c r="H156" s="153"/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114</v>
      </c>
      <c r="C157" s="35" t="s">
        <v>20</v>
      </c>
      <c r="D157" s="95"/>
      <c r="E157" s="35" t="s">
        <v>25</v>
      </c>
      <c r="F157" s="71"/>
      <c r="G157" s="146" t="s">
        <v>22</v>
      </c>
      <c r="H157" s="169" t="n">
        <v>1</v>
      </c>
      <c r="I157" s="160"/>
      <c r="J157" s="160"/>
      <c r="K157" s="161"/>
      <c r="L157" s="161" t="n">
        <f aca="false">M157+N157</f>
        <v>0</v>
      </c>
      <c r="M157" s="161"/>
      <c r="N157" s="190"/>
      <c r="O157" s="163" t="n">
        <v>3</v>
      </c>
      <c r="P157" s="161" t="n">
        <v>4574.09</v>
      </c>
      <c r="Q157" s="161" t="n">
        <f aca="false">R157+S157</f>
        <v>0</v>
      </c>
      <c r="R157" s="161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274</v>
      </c>
      <c r="G158" s="164" t="s">
        <v>26</v>
      </c>
      <c r="H158" s="175" t="n">
        <v>3</v>
      </c>
      <c r="I158" s="165" t="n">
        <v>1</v>
      </c>
      <c r="J158" s="165" t="n">
        <v>1</v>
      </c>
      <c r="K158" s="166" t="n">
        <v>2947.54</v>
      </c>
      <c r="L158" s="166" t="n">
        <f aca="false">M158+N158</f>
        <v>0</v>
      </c>
      <c r="M158" s="166"/>
      <c r="N158" s="156"/>
      <c r="O158" s="168"/>
      <c r="P158" s="166"/>
      <c r="Q158" s="166" t="n">
        <f aca="false">R158+S158</f>
        <v>0</v>
      </c>
      <c r="R158" s="166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243</v>
      </c>
      <c r="C159" s="219"/>
      <c r="D159" s="19"/>
      <c r="E159" s="19"/>
      <c r="F159" s="20"/>
      <c r="G159" s="146" t="s">
        <v>22</v>
      </c>
      <c r="H159" s="173" t="n">
        <v>2</v>
      </c>
      <c r="I159" s="148"/>
      <c r="J159" s="148"/>
      <c r="K159" s="149"/>
      <c r="L159" s="149" t="n">
        <f aca="false">M159+N159</f>
        <v>0</v>
      </c>
      <c r="M159" s="149"/>
      <c r="N159" s="190"/>
      <c r="O159" s="206"/>
      <c r="P159" s="149"/>
      <c r="Q159" s="149" t="n">
        <f aca="false">R159+S159</f>
        <v>0</v>
      </c>
      <c r="R159" s="149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26" t="s">
        <v>275</v>
      </c>
      <c r="G160" s="152" t="s">
        <v>26</v>
      </c>
      <c r="H160" s="174" t="n">
        <v>4</v>
      </c>
      <c r="I160" s="154" t="n">
        <v>1</v>
      </c>
      <c r="J160" s="154" t="n">
        <v>1</v>
      </c>
      <c r="K160" s="155" t="n">
        <v>528.6</v>
      </c>
      <c r="L160" s="155" t="n">
        <f aca="false">M160+N160</f>
        <v>3476.14</v>
      </c>
      <c r="M160" s="155"/>
      <c r="N160" s="156" t="n">
        <v>3476.14</v>
      </c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200</v>
      </c>
      <c r="C161" s="220"/>
      <c r="D161" s="56"/>
      <c r="E161" s="56"/>
      <c r="F161" s="36"/>
      <c r="G161" s="158" t="s">
        <v>22</v>
      </c>
      <c r="H161" s="159" t="n">
        <v>21</v>
      </c>
      <c r="I161" s="160" t="n">
        <v>18</v>
      </c>
      <c r="J161" s="160" t="n">
        <v>18</v>
      </c>
      <c r="K161" s="161" t="n">
        <v>14987.23</v>
      </c>
      <c r="L161" s="161" t="n">
        <f aca="false">M161+N161</f>
        <v>14018.13</v>
      </c>
      <c r="M161" s="161" t="n">
        <v>14018.13</v>
      </c>
      <c r="N161" s="190"/>
      <c r="O161" s="163"/>
      <c r="P161" s="161"/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57"/>
      <c r="G162" s="152" t="s">
        <v>26</v>
      </c>
      <c r="H162" s="174" t="n">
        <v>4</v>
      </c>
      <c r="I162" s="154" t="n">
        <v>3</v>
      </c>
      <c r="J162" s="154" t="n">
        <v>3</v>
      </c>
      <c r="K162" s="155" t="n">
        <v>4757.4</v>
      </c>
      <c r="L162" s="155" t="n">
        <f aca="false">M162+N162</f>
        <v>4757.4</v>
      </c>
      <c r="M162" s="155"/>
      <c r="N162" s="156" t="n">
        <v>4757.4</v>
      </c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115</v>
      </c>
      <c r="C163" s="56" t="s">
        <v>20</v>
      </c>
      <c r="D163" s="56"/>
      <c r="E163" s="56" t="s">
        <v>116</v>
      </c>
      <c r="F163" s="36"/>
      <c r="G163" s="158" t="s">
        <v>22</v>
      </c>
      <c r="H163" s="159" t="n">
        <v>13</v>
      </c>
      <c r="I163" s="160" t="n">
        <v>7</v>
      </c>
      <c r="J163" s="160" t="n">
        <v>8</v>
      </c>
      <c r="K163" s="161" t="n">
        <v>6070.98</v>
      </c>
      <c r="L163" s="161" t="n">
        <f aca="false">M163+N163</f>
        <v>6070.98</v>
      </c>
      <c r="M163" s="161" t="n">
        <v>2886.16</v>
      </c>
      <c r="N163" s="190" t="n">
        <v>3184.82</v>
      </c>
      <c r="O163" s="163" t="n">
        <v>16</v>
      </c>
      <c r="P163" s="161" t="n">
        <v>38035.34</v>
      </c>
      <c r="Q163" s="161" t="n">
        <f aca="false">R163+S163</f>
        <v>22208.41</v>
      </c>
      <c r="R163" s="161" t="n">
        <v>6775.76</v>
      </c>
      <c r="S163" s="190" t="n">
        <v>15432.65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42" t="s">
        <v>201</v>
      </c>
      <c r="G164" s="164" t="s">
        <v>26</v>
      </c>
      <c r="H164" s="172" t="n">
        <v>9</v>
      </c>
      <c r="I164" s="165" t="n">
        <v>2</v>
      </c>
      <c r="J164" s="165" t="n">
        <v>2</v>
      </c>
      <c r="K164" s="166" t="n">
        <v>5990.8</v>
      </c>
      <c r="L164" s="161" t="n">
        <f aca="false">M164+N164</f>
        <v>1585.8</v>
      </c>
      <c r="M164" s="166"/>
      <c r="N164" s="156" t="n">
        <v>1585.8</v>
      </c>
      <c r="O164" s="168" t="n">
        <v>8</v>
      </c>
      <c r="P164" s="166" t="n">
        <v>881</v>
      </c>
      <c r="Q164" s="166" t="n">
        <f aca="false">R164+S164</f>
        <v>5967</v>
      </c>
      <c r="R164" s="166" t="n">
        <f aca="false">881+2114.4</f>
        <v>2995.4</v>
      </c>
      <c r="S164" s="156" t="n">
        <v>2971.6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157</v>
      </c>
      <c r="C165" s="19"/>
      <c r="D165" s="19"/>
      <c r="E165" s="127"/>
      <c r="F165" s="22"/>
      <c r="G165" s="146" t="s">
        <v>22</v>
      </c>
      <c r="H165" s="147" t="n">
        <v>8</v>
      </c>
      <c r="I165" s="148" t="n">
        <v>1</v>
      </c>
      <c r="J165" s="148" t="n">
        <v>1</v>
      </c>
      <c r="K165" s="149" t="n">
        <v>3876.4</v>
      </c>
      <c r="L165" s="149" t="n">
        <f aca="false">M165+N165</f>
        <v>3876.4</v>
      </c>
      <c r="M165" s="149" t="n">
        <v>3876.4</v>
      </c>
      <c r="N165" s="190"/>
      <c r="O165" s="151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17"/>
      <c r="B166" s="18"/>
      <c r="C166" s="18"/>
      <c r="D166" s="18"/>
      <c r="E166" s="127"/>
      <c r="F166" s="26" t="s">
        <v>202</v>
      </c>
      <c r="G166" s="152" t="s">
        <v>26</v>
      </c>
      <c r="H166" s="176" t="n">
        <v>1</v>
      </c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1762</v>
      </c>
      <c r="R166" s="155"/>
      <c r="S166" s="156" t="n">
        <v>1762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117</v>
      </c>
      <c r="C167" s="35" t="s">
        <v>33</v>
      </c>
      <c r="D167" s="35" t="s">
        <v>118</v>
      </c>
      <c r="E167" s="74" t="s">
        <v>25</v>
      </c>
      <c r="F167" s="89"/>
      <c r="G167" s="158" t="s">
        <v>22</v>
      </c>
      <c r="H167" s="169"/>
      <c r="I167" s="160"/>
      <c r="J167" s="160"/>
      <c r="K167" s="161"/>
      <c r="L167" s="161" t="n">
        <f aca="false">M167+N167</f>
        <v>0</v>
      </c>
      <c r="M167" s="161"/>
      <c r="N167" s="190"/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33"/>
      <c r="B168" s="34"/>
      <c r="C168" s="34"/>
      <c r="D168" s="34"/>
      <c r="E168" s="34"/>
      <c r="F168" s="42"/>
      <c r="G168" s="158" t="s">
        <v>23</v>
      </c>
      <c r="H168" s="169"/>
      <c r="I168" s="160"/>
      <c r="J168" s="160"/>
      <c r="K168" s="161"/>
      <c r="L168" s="161" t="n">
        <f aca="false">M168+N168</f>
        <v>0</v>
      </c>
      <c r="M168" s="161"/>
      <c r="N168" s="167"/>
      <c r="O168" s="163" t="n">
        <v>2</v>
      </c>
      <c r="P168" s="161" t="n">
        <v>1762</v>
      </c>
      <c r="Q168" s="161" t="n">
        <f aca="false">R168+S168</f>
        <v>0</v>
      </c>
      <c r="R168" s="161"/>
      <c r="S168" s="167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33"/>
      <c r="B169" s="34"/>
      <c r="C169" s="34"/>
      <c r="D169" s="34"/>
      <c r="E169" s="34"/>
      <c r="F169" s="42"/>
      <c r="G169" s="164" t="s">
        <v>26</v>
      </c>
      <c r="H169" s="153"/>
      <c r="I169" s="165"/>
      <c r="J169" s="165"/>
      <c r="K169" s="166"/>
      <c r="L169" s="166" t="n">
        <f aca="false">M169+N169</f>
        <v>0</v>
      </c>
      <c r="M169" s="166"/>
      <c r="N169" s="156"/>
      <c r="O169" s="168" t="n">
        <v>6</v>
      </c>
      <c r="P169" s="166" t="n">
        <v>4845.5</v>
      </c>
      <c r="Q169" s="166" t="n">
        <f aca="false">R169+S169</f>
        <v>1762</v>
      </c>
      <c r="R169" s="166" t="n">
        <v>1762</v>
      </c>
      <c r="S169" s="156" t="n">
        <v>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119</v>
      </c>
      <c r="C170" s="19" t="s">
        <v>20</v>
      </c>
      <c r="D170" s="19"/>
      <c r="E170" s="19" t="s">
        <v>25</v>
      </c>
      <c r="F170" s="20"/>
      <c r="G170" s="146" t="s">
        <v>22</v>
      </c>
      <c r="H170" s="169"/>
      <c r="I170" s="148"/>
      <c r="J170" s="148"/>
      <c r="K170" s="149"/>
      <c r="L170" s="149" t="n">
        <f aca="false">M170+N170</f>
        <v>0</v>
      </c>
      <c r="M170" s="149"/>
      <c r="N170" s="190"/>
      <c r="O170" s="151" t="n">
        <v>2</v>
      </c>
      <c r="P170" s="149" t="n">
        <v>2643</v>
      </c>
      <c r="Q170" s="149" t="n">
        <f aca="false">R170+S170</f>
        <v>2643</v>
      </c>
      <c r="R170" s="149" t="n">
        <v>2643</v>
      </c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42" t="s">
        <v>203</v>
      </c>
      <c r="G171" s="164" t="s">
        <v>26</v>
      </c>
      <c r="H171" s="175" t="n">
        <v>4</v>
      </c>
      <c r="I171" s="165" t="n">
        <v>2</v>
      </c>
      <c r="J171" s="165" t="n">
        <v>2</v>
      </c>
      <c r="K171" s="166" t="n">
        <v>1233.4</v>
      </c>
      <c r="L171" s="166" t="n">
        <f aca="false">M171+N171</f>
        <v>704.8</v>
      </c>
      <c r="M171" s="166" t="n">
        <f aca="false">704.8</f>
        <v>704.8</v>
      </c>
      <c r="N171" s="156"/>
      <c r="O171" s="168" t="n">
        <v>2</v>
      </c>
      <c r="P171" s="166" t="n">
        <v>7576.6</v>
      </c>
      <c r="Q171" s="166" t="n">
        <f aca="false">R171+S171</f>
        <v>7400.4</v>
      </c>
      <c r="R171" s="166" t="n">
        <f aca="false">881</f>
        <v>881</v>
      </c>
      <c r="S171" s="156" t="n">
        <f aca="false">2466.8+4052.6</f>
        <v>6519.4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225</v>
      </c>
      <c r="C172" s="19"/>
      <c r="D172" s="19"/>
      <c r="E172" s="19"/>
      <c r="F172" s="20"/>
      <c r="G172" s="146" t="s">
        <v>22</v>
      </c>
      <c r="H172" s="147"/>
      <c r="I172" s="148"/>
      <c r="J172" s="148"/>
      <c r="K172" s="149"/>
      <c r="L172" s="149" t="n">
        <f aca="false">M172+N172</f>
        <v>0</v>
      </c>
      <c r="M172" s="149"/>
      <c r="N172" s="190"/>
      <c r="O172" s="151"/>
      <c r="P172" s="149"/>
      <c r="Q172" s="149" t="n">
        <f aca="false">R172+S172</f>
        <v>0</v>
      </c>
      <c r="R172" s="149"/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17"/>
      <c r="B173" s="18"/>
      <c r="C173" s="18"/>
      <c r="D173" s="18"/>
      <c r="E173" s="18"/>
      <c r="F173" s="26" t="s">
        <v>244</v>
      </c>
      <c r="G173" s="152" t="s">
        <v>23</v>
      </c>
      <c r="H173" s="176" t="n">
        <v>15</v>
      </c>
      <c r="I173" s="154" t="n">
        <v>3</v>
      </c>
      <c r="J173" s="154" t="n">
        <v>3</v>
      </c>
      <c r="K173" s="155" t="n">
        <v>2863</v>
      </c>
      <c r="L173" s="155" t="n">
        <f aca="false">M173+N173</f>
        <v>0</v>
      </c>
      <c r="M173" s="155"/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54"/>
      <c r="B174" s="55" t="s">
        <v>120</v>
      </c>
      <c r="C174" s="56" t="s">
        <v>20</v>
      </c>
      <c r="D174" s="56"/>
      <c r="E174" s="56" t="s">
        <v>25</v>
      </c>
      <c r="F174" s="36"/>
      <c r="G174" s="158" t="s">
        <v>22</v>
      </c>
      <c r="H174" s="169"/>
      <c r="I174" s="160"/>
      <c r="J174" s="160"/>
      <c r="K174" s="161"/>
      <c r="L174" s="161" t="n">
        <f aca="false">M174+N174</f>
        <v>0</v>
      </c>
      <c r="M174" s="161"/>
      <c r="N174" s="190"/>
      <c r="O174" s="163" t="n">
        <v>3</v>
      </c>
      <c r="P174" s="161" t="n">
        <v>3063.78</v>
      </c>
      <c r="Q174" s="161" t="n">
        <f aca="false">R174+S174</f>
        <v>3063.78</v>
      </c>
      <c r="R174" s="161" t="n">
        <v>3063.78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/>
      <c r="C175" s="55"/>
      <c r="D175" s="55"/>
      <c r="E175" s="55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56"/>
      <c r="O175" s="168"/>
      <c r="P175" s="166"/>
      <c r="Q175" s="166" t="n">
        <f aca="false">R175+S175</f>
        <v>0</v>
      </c>
      <c r="R175" s="166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72"/>
      <c r="B176" s="18" t="s">
        <v>158</v>
      </c>
      <c r="C176" s="74"/>
      <c r="D176" s="56" t="s">
        <v>204</v>
      </c>
      <c r="E176" s="74"/>
      <c r="F176" s="53"/>
      <c r="G176" s="146" t="s">
        <v>22</v>
      </c>
      <c r="H176" s="195"/>
      <c r="I176" s="196"/>
      <c r="J176" s="196"/>
      <c r="K176" s="197"/>
      <c r="L176" s="197" t="n">
        <f aca="false">M176+N176</f>
        <v>0</v>
      </c>
      <c r="M176" s="197"/>
      <c r="N176" s="190"/>
      <c r="O176" s="199"/>
      <c r="P176" s="197"/>
      <c r="Q176" s="197" t="n">
        <f aca="false">R176+S176</f>
        <v>0</v>
      </c>
      <c r="R176" s="197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54"/>
      <c r="B177" s="18"/>
      <c r="C177" s="56"/>
      <c r="D177" s="56"/>
      <c r="E177" s="56"/>
      <c r="F177" s="138" t="s">
        <v>205</v>
      </c>
      <c r="G177" s="152" t="s">
        <v>26</v>
      </c>
      <c r="H177" s="153" t="n">
        <v>3</v>
      </c>
      <c r="I177" s="200" t="n">
        <v>2</v>
      </c>
      <c r="J177" s="200" t="n">
        <v>2</v>
      </c>
      <c r="K177" s="201" t="n">
        <v>3524</v>
      </c>
      <c r="L177" s="201" t="n">
        <f aca="false">M177+N177</f>
        <v>0</v>
      </c>
      <c r="M177" s="201"/>
      <c r="N177" s="156"/>
      <c r="O177" s="203"/>
      <c r="P177" s="201"/>
      <c r="Q177" s="201" t="n">
        <f aca="false">R177+S177</f>
        <v>0</v>
      </c>
      <c r="R177" s="201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33"/>
      <c r="B178" s="34" t="s">
        <v>152</v>
      </c>
      <c r="C178" s="35" t="s">
        <v>20</v>
      </c>
      <c r="D178" s="35"/>
      <c r="E178" s="35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4</v>
      </c>
      <c r="P178" s="161" t="n">
        <v>7400.4</v>
      </c>
      <c r="Q178" s="161" t="n">
        <f aca="false">R178+S178</f>
        <v>7400.4</v>
      </c>
      <c r="R178" s="161" t="n">
        <v>7400.4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206</v>
      </c>
      <c r="G179" s="164" t="s">
        <v>26</v>
      </c>
      <c r="H179" s="171" t="n">
        <v>4</v>
      </c>
      <c r="I179" s="165"/>
      <c r="J179" s="165" t="n">
        <v>1</v>
      </c>
      <c r="K179" s="166" t="n">
        <v>704.8</v>
      </c>
      <c r="L179" s="166" t="n">
        <v>0</v>
      </c>
      <c r="M179" s="166" t="n">
        <v>0</v>
      </c>
      <c r="N179" s="156"/>
      <c r="O179" s="168" t="n">
        <v>6</v>
      </c>
      <c r="P179" s="166" t="n">
        <v>7048</v>
      </c>
      <c r="Q179" s="161" t="n">
        <f aca="false">R179+S179</f>
        <v>6959.9</v>
      </c>
      <c r="R179" s="166" t="n">
        <f aca="false">2731.1+4228.8</f>
        <v>6959.9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122</v>
      </c>
      <c r="C180" s="19" t="s">
        <v>20</v>
      </c>
      <c r="D180" s="19"/>
      <c r="E180" s="19" t="s">
        <v>116</v>
      </c>
      <c r="F180" s="20"/>
      <c r="G180" s="146" t="s">
        <v>22</v>
      </c>
      <c r="H180" s="159" t="n">
        <v>26</v>
      </c>
      <c r="I180" s="148" t="n">
        <v>21</v>
      </c>
      <c r="J180" s="148" t="n">
        <v>25</v>
      </c>
      <c r="K180" s="149" t="n">
        <v>36711.89</v>
      </c>
      <c r="L180" s="149" t="n">
        <f aca="false">M180+N180</f>
        <v>32759.12</v>
      </c>
      <c r="M180" s="149" t="n">
        <v>11563.14</v>
      </c>
      <c r="N180" s="190" t="n">
        <v>21195.98</v>
      </c>
      <c r="O180" s="151" t="n">
        <v>25</v>
      </c>
      <c r="P180" s="149" t="n">
        <v>83681.13</v>
      </c>
      <c r="Q180" s="149" t="n">
        <f aca="false">R180+S180</f>
        <v>61568.09</v>
      </c>
      <c r="R180" s="149" t="n">
        <v>38935.35</v>
      </c>
      <c r="S180" s="190" t="n">
        <v>22632.74</v>
      </c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57"/>
      <c r="G181" s="152" t="s">
        <v>26</v>
      </c>
      <c r="H181" s="153"/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123</v>
      </c>
      <c r="C182" s="35" t="s">
        <v>20</v>
      </c>
      <c r="D182" s="35"/>
      <c r="E182" s="35" t="s">
        <v>25</v>
      </c>
      <c r="F182" s="36"/>
      <c r="G182" s="146" t="s">
        <v>22</v>
      </c>
      <c r="H182" s="159" t="n">
        <v>3</v>
      </c>
      <c r="I182" s="160" t="n">
        <v>3</v>
      </c>
      <c r="J182" s="160" t="n">
        <v>3</v>
      </c>
      <c r="K182" s="161" t="n">
        <v>2255.36</v>
      </c>
      <c r="L182" s="161" t="n">
        <f aca="false">M182+N182</f>
        <v>2255.36</v>
      </c>
      <c r="M182" s="161" t="n">
        <v>881</v>
      </c>
      <c r="N182" s="190" t="n">
        <v>1374.36</v>
      </c>
      <c r="O182" s="163" t="n">
        <v>6</v>
      </c>
      <c r="P182" s="161" t="n">
        <v>10868.41</v>
      </c>
      <c r="Q182" s="161" t="n">
        <f aca="false">R182+S182</f>
        <v>10868.41</v>
      </c>
      <c r="R182" s="161" t="n">
        <v>10269.33</v>
      </c>
      <c r="S182" s="190" t="n">
        <v>599.08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207</v>
      </c>
      <c r="G183" s="164" t="s">
        <v>26</v>
      </c>
      <c r="H183" s="153" t="n">
        <v>3</v>
      </c>
      <c r="I183" s="165"/>
      <c r="J183" s="165"/>
      <c r="K183" s="166"/>
      <c r="L183" s="161" t="n">
        <f aca="false">M183+N183</f>
        <v>0</v>
      </c>
      <c r="M183" s="166" t="n">
        <v>0</v>
      </c>
      <c r="N183" s="156"/>
      <c r="O183" s="168" t="n">
        <v>1</v>
      </c>
      <c r="P183" s="166"/>
      <c r="Q183" s="166" t="n">
        <f aca="false">R183+S183</f>
        <v>881</v>
      </c>
      <c r="R183" s="166" t="n">
        <f aca="false">881</f>
        <v>881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124</v>
      </c>
      <c r="C184" s="19" t="s">
        <v>20</v>
      </c>
      <c r="D184" s="19"/>
      <c r="E184" s="19" t="s">
        <v>88</v>
      </c>
      <c r="F184" s="20"/>
      <c r="G184" s="146" t="s">
        <v>22</v>
      </c>
      <c r="H184" s="159" t="n">
        <v>9</v>
      </c>
      <c r="I184" s="148" t="n">
        <v>5</v>
      </c>
      <c r="J184" s="148" t="n">
        <v>5</v>
      </c>
      <c r="K184" s="149" t="n">
        <v>9703.52</v>
      </c>
      <c r="L184" s="149" t="n">
        <f aca="false">M184+N184</f>
        <v>5959.27</v>
      </c>
      <c r="M184" s="149"/>
      <c r="N184" s="190" t="n">
        <v>5959.27</v>
      </c>
      <c r="O184" s="151" t="n">
        <v>7</v>
      </c>
      <c r="P184" s="149" t="n">
        <v>19070.72</v>
      </c>
      <c r="Q184" s="149" t="n">
        <f aca="false">R184+S184</f>
        <v>19070.72</v>
      </c>
      <c r="R184" s="149" t="n">
        <v>14475.42</v>
      </c>
      <c r="S184" s="190" t="n">
        <v>4595.3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42" t="s">
        <v>245</v>
      </c>
      <c r="G185" s="164" t="s">
        <v>23</v>
      </c>
      <c r="H185" s="172" t="n">
        <v>8</v>
      </c>
      <c r="I185" s="165" t="n">
        <v>1</v>
      </c>
      <c r="J185" s="165" t="n">
        <v>1</v>
      </c>
      <c r="K185" s="166" t="n">
        <v>528.6</v>
      </c>
      <c r="L185" s="166" t="n">
        <v>0</v>
      </c>
      <c r="M185" s="166"/>
      <c r="N185" s="156"/>
      <c r="O185" s="168" t="n">
        <v>6</v>
      </c>
      <c r="P185" s="166" t="n">
        <v>9061.9</v>
      </c>
      <c r="Q185" s="166" t="n">
        <v>3976.4</v>
      </c>
      <c r="R185" s="166" t="n">
        <v>3976.4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208</v>
      </c>
      <c r="C186" s="19"/>
      <c r="D186" s="19"/>
      <c r="E186" s="127"/>
      <c r="F186" s="20"/>
      <c r="G186" s="146" t="s">
        <v>22</v>
      </c>
      <c r="H186" s="173" t="n">
        <v>26</v>
      </c>
      <c r="I186" s="148" t="n">
        <v>3</v>
      </c>
      <c r="J186" s="148" t="n">
        <v>3</v>
      </c>
      <c r="K186" s="149" t="n">
        <v>3728.39</v>
      </c>
      <c r="L186" s="149" t="n">
        <f aca="false">M186+N186</f>
        <v>2396.32</v>
      </c>
      <c r="M186" s="149" t="n">
        <v>2396.32</v>
      </c>
      <c r="N186" s="190"/>
      <c r="O186" s="151"/>
      <c r="P186" s="149"/>
      <c r="Q186" s="149" t="n">
        <f aca="false">R186+S186</f>
        <v>0</v>
      </c>
      <c r="R186" s="149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28"/>
      <c r="F187" s="26" t="s">
        <v>246</v>
      </c>
      <c r="G187" s="152" t="s">
        <v>23</v>
      </c>
      <c r="H187" s="174" t="n">
        <v>6</v>
      </c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125</v>
      </c>
      <c r="C188" s="35" t="s">
        <v>33</v>
      </c>
      <c r="D188" s="35" t="s">
        <v>126</v>
      </c>
      <c r="E188" s="35" t="s">
        <v>127</v>
      </c>
      <c r="F188" s="36"/>
      <c r="G188" s="158" t="s">
        <v>22</v>
      </c>
      <c r="H188" s="159" t="n">
        <v>9</v>
      </c>
      <c r="I188" s="160" t="n">
        <v>5</v>
      </c>
      <c r="J188" s="160" t="n">
        <v>6</v>
      </c>
      <c r="K188" s="161" t="n">
        <v>7126.5</v>
      </c>
      <c r="L188" s="161" t="n">
        <f aca="false">M188+N188</f>
        <v>7126.5</v>
      </c>
      <c r="M188" s="161" t="n">
        <v>2128.14</v>
      </c>
      <c r="N188" s="190" t="n">
        <v>4998.36</v>
      </c>
      <c r="O188" s="163" t="n">
        <v>14</v>
      </c>
      <c r="P188" s="161" t="n">
        <v>33154.57</v>
      </c>
      <c r="Q188" s="161" t="n">
        <f aca="false">R188+S188</f>
        <v>32035.95</v>
      </c>
      <c r="R188" s="161" t="n">
        <v>15275.34</v>
      </c>
      <c r="S188" s="190" t="n">
        <v>16760.61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164" t="s">
        <v>23</v>
      </c>
      <c r="H189" s="171" t="n">
        <v>31</v>
      </c>
      <c r="I189" s="165" t="n">
        <v>6</v>
      </c>
      <c r="J189" s="165" t="n">
        <v>6</v>
      </c>
      <c r="K189" s="166" t="n">
        <v>10924.4</v>
      </c>
      <c r="L189" s="166" t="n">
        <v>2995.4</v>
      </c>
      <c r="M189" s="166" t="n">
        <v>2995.4</v>
      </c>
      <c r="N189" s="156"/>
      <c r="O189" s="168" t="n">
        <v>15</v>
      </c>
      <c r="P189" s="166" t="n">
        <v>37701.4</v>
      </c>
      <c r="Q189" s="166" t="n">
        <v>10924.4</v>
      </c>
      <c r="R189" s="166" t="n">
        <v>10924.4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128</v>
      </c>
      <c r="C190" s="19" t="s">
        <v>20</v>
      </c>
      <c r="D190" s="19"/>
      <c r="E190" s="19" t="s">
        <v>25</v>
      </c>
      <c r="F190" s="20"/>
      <c r="G190" s="146" t="s">
        <v>22</v>
      </c>
      <c r="H190" s="159" t="n">
        <v>17</v>
      </c>
      <c r="I190" s="148" t="n">
        <v>10</v>
      </c>
      <c r="J190" s="148" t="n">
        <v>10</v>
      </c>
      <c r="K190" s="149" t="n">
        <v>10868.49</v>
      </c>
      <c r="L190" s="149" t="n">
        <f aca="false">M190+N190</f>
        <v>10868.49</v>
      </c>
      <c r="M190" s="149" t="n">
        <v>5466.2</v>
      </c>
      <c r="N190" s="190" t="n">
        <v>5402.29</v>
      </c>
      <c r="O190" s="151" t="n">
        <v>24</v>
      </c>
      <c r="P190" s="149" t="n">
        <v>42740.26</v>
      </c>
      <c r="Q190" s="149" t="n">
        <f aca="false">R190+S190</f>
        <v>42740.26</v>
      </c>
      <c r="R190" s="149" t="n">
        <v>22150.46</v>
      </c>
      <c r="S190" s="190" t="n">
        <v>20589.8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71"/>
      <c r="G191" s="164" t="s">
        <v>26</v>
      </c>
      <c r="H191" s="175"/>
      <c r="I191" s="165"/>
      <c r="J191" s="165"/>
      <c r="K191" s="166"/>
      <c r="L191" s="166" t="n">
        <f aca="false">M191+N191</f>
        <v>0</v>
      </c>
      <c r="M191" s="166"/>
      <c r="N191" s="156"/>
      <c r="O191" s="168"/>
      <c r="P191" s="166"/>
      <c r="Q191" s="166" t="n">
        <f aca="false">R191+S191</f>
        <v>0</v>
      </c>
      <c r="R191" s="166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227</v>
      </c>
      <c r="C192" s="19"/>
      <c r="D192" s="19"/>
      <c r="E192" s="19"/>
      <c r="F192" s="20"/>
      <c r="G192" s="204" t="s">
        <v>22</v>
      </c>
      <c r="H192" s="173" t="n">
        <v>2</v>
      </c>
      <c r="I192" s="148" t="n">
        <v>1</v>
      </c>
      <c r="J192" s="148" t="n">
        <v>1</v>
      </c>
      <c r="K192" s="149" t="n">
        <v>621.99</v>
      </c>
      <c r="L192" s="149" t="n">
        <f aca="false">M192+N192</f>
        <v>0</v>
      </c>
      <c r="M192" s="149"/>
      <c r="N192" s="190"/>
      <c r="O192" s="206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207" t="s">
        <v>26</v>
      </c>
      <c r="H193" s="174"/>
      <c r="I193" s="154"/>
      <c r="J193" s="154"/>
      <c r="K193" s="155"/>
      <c r="L193" s="155" t="n">
        <f aca="false">M193+N193</f>
        <v>0</v>
      </c>
      <c r="M193" s="155"/>
      <c r="N193" s="156"/>
      <c r="O193" s="209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129</v>
      </c>
      <c r="C194" s="35" t="s">
        <v>38</v>
      </c>
      <c r="D194" s="35" t="s">
        <v>130</v>
      </c>
      <c r="E194" s="35" t="s">
        <v>25</v>
      </c>
      <c r="F194" s="36"/>
      <c r="G194" s="158" t="s">
        <v>22</v>
      </c>
      <c r="H194" s="159" t="n">
        <v>11</v>
      </c>
      <c r="I194" s="160" t="n">
        <v>8</v>
      </c>
      <c r="J194" s="160" t="n">
        <v>8</v>
      </c>
      <c r="K194" s="161" t="n">
        <v>7208.26</v>
      </c>
      <c r="L194" s="161" t="n">
        <f aca="false">M194+N194</f>
        <v>5680.61</v>
      </c>
      <c r="M194" s="161" t="n">
        <v>3147.73</v>
      </c>
      <c r="N194" s="190" t="n">
        <v>2532.88</v>
      </c>
      <c r="O194" s="163" t="n">
        <v>3</v>
      </c>
      <c r="P194" s="161" t="n">
        <v>55205.85</v>
      </c>
      <c r="Q194" s="161" t="n">
        <f aca="false">R194+S194</f>
        <v>44463.45</v>
      </c>
      <c r="R194" s="161" t="n">
        <v>44463.45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209</v>
      </c>
      <c r="G195" s="164" t="s">
        <v>26</v>
      </c>
      <c r="H195" s="153" t="n">
        <v>3</v>
      </c>
      <c r="I195" s="165" t="n">
        <v>1</v>
      </c>
      <c r="J195" s="165" t="n">
        <v>1</v>
      </c>
      <c r="K195" s="166" t="n">
        <v>1762</v>
      </c>
      <c r="L195" s="161" t="n">
        <f aca="false">M195+N195</f>
        <v>0</v>
      </c>
      <c r="M195" s="166" t="n">
        <v>0</v>
      </c>
      <c r="N195" s="156"/>
      <c r="O195" s="168" t="n">
        <v>7</v>
      </c>
      <c r="P195" s="166" t="n">
        <v>20590.6</v>
      </c>
      <c r="Q195" s="166" t="n">
        <f aca="false">R195+S195</f>
        <v>16374.2</v>
      </c>
      <c r="R195" s="166" t="n">
        <f aca="false">881+881</f>
        <v>1762</v>
      </c>
      <c r="S195" s="167" t="n">
        <v>14612.2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17"/>
      <c r="B196" s="18" t="s">
        <v>131</v>
      </c>
      <c r="C196" s="19" t="s">
        <v>38</v>
      </c>
      <c r="D196" s="19" t="s">
        <v>130</v>
      </c>
      <c r="E196" s="19" t="s">
        <v>25</v>
      </c>
      <c r="F196" s="20"/>
      <c r="G196" s="146" t="s">
        <v>22</v>
      </c>
      <c r="H196" s="159" t="n">
        <v>9</v>
      </c>
      <c r="I196" s="148" t="n">
        <v>7</v>
      </c>
      <c r="J196" s="148" t="n">
        <v>11</v>
      </c>
      <c r="K196" s="149" t="n">
        <v>25996.1</v>
      </c>
      <c r="L196" s="149" t="n">
        <f aca="false">M196+N196</f>
        <v>25996.1</v>
      </c>
      <c r="M196" s="149" t="n">
        <v>13633.47</v>
      </c>
      <c r="N196" s="190" t="n">
        <v>12362.63</v>
      </c>
      <c r="O196" s="151" t="n">
        <v>14</v>
      </c>
      <c r="P196" s="149" t="n">
        <v>65810.62</v>
      </c>
      <c r="Q196" s="149" t="n">
        <f aca="false">R196+S196</f>
        <v>58274.05</v>
      </c>
      <c r="R196" s="149" t="n">
        <v>55278.65</v>
      </c>
      <c r="S196" s="198" t="n">
        <v>2995.4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17"/>
      <c r="B197" s="18"/>
      <c r="C197" s="18"/>
      <c r="D197" s="18"/>
      <c r="E197" s="18"/>
      <c r="F197" s="26" t="s">
        <v>210</v>
      </c>
      <c r="G197" s="152" t="s">
        <v>26</v>
      </c>
      <c r="H197" s="153" t="n">
        <v>3</v>
      </c>
      <c r="I197" s="154" t="n">
        <v>2</v>
      </c>
      <c r="J197" s="154" t="n">
        <v>2</v>
      </c>
      <c r="K197" s="155" t="n">
        <v>1585.8</v>
      </c>
      <c r="L197" s="155" t="n">
        <f aca="false">M197+N197</f>
        <v>1585.8</v>
      </c>
      <c r="M197" s="155"/>
      <c r="N197" s="156" t="n">
        <v>1585.8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33"/>
      <c r="B198" s="34" t="s">
        <v>132</v>
      </c>
      <c r="C198" s="35" t="s">
        <v>20</v>
      </c>
      <c r="D198" s="35"/>
      <c r="E198" s="35" t="s">
        <v>69</v>
      </c>
      <c r="F198" s="38"/>
      <c r="G198" s="146" t="s">
        <v>22</v>
      </c>
      <c r="H198" s="159" t="n">
        <v>8</v>
      </c>
      <c r="I198" s="160" t="n">
        <v>7</v>
      </c>
      <c r="J198" s="160" t="n">
        <v>11</v>
      </c>
      <c r="K198" s="161" t="n">
        <v>23368.97</v>
      </c>
      <c r="L198" s="161" t="n">
        <f aca="false">M198+N198</f>
        <v>23368.97</v>
      </c>
      <c r="M198" s="161" t="n">
        <v>1973.48</v>
      </c>
      <c r="N198" s="190" t="n">
        <v>21395.49</v>
      </c>
      <c r="O198" s="163" t="n">
        <v>11</v>
      </c>
      <c r="P198" s="161" t="n">
        <v>34976.18</v>
      </c>
      <c r="Q198" s="161" t="n">
        <f aca="false">R198+S198</f>
        <v>28827.93</v>
      </c>
      <c r="R198" s="161" t="n">
        <v>28827.93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33"/>
      <c r="B199" s="34"/>
      <c r="C199" s="34"/>
      <c r="D199" s="34"/>
      <c r="E199" s="34"/>
      <c r="F199" s="42" t="s">
        <v>211</v>
      </c>
      <c r="G199" s="164" t="s">
        <v>26</v>
      </c>
      <c r="H199" s="153" t="n">
        <v>8</v>
      </c>
      <c r="I199" s="165" t="n">
        <v>3</v>
      </c>
      <c r="J199" s="165" t="n">
        <v>3</v>
      </c>
      <c r="K199" s="166" t="n">
        <v>10184.36</v>
      </c>
      <c r="L199" s="166" t="n">
        <f aca="false">M199+N199</f>
        <v>0</v>
      </c>
      <c r="M199" s="166"/>
      <c r="N199" s="156"/>
      <c r="O199" s="168" t="n">
        <v>1</v>
      </c>
      <c r="P199" s="166" t="n">
        <v>3700.2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133</v>
      </c>
      <c r="C200" s="74" t="s">
        <v>20</v>
      </c>
      <c r="D200" s="74"/>
      <c r="E200" s="74" t="s">
        <v>25</v>
      </c>
      <c r="F200" s="22"/>
      <c r="G200" s="146" t="s">
        <v>22</v>
      </c>
      <c r="H200" s="159" t="n">
        <v>4</v>
      </c>
      <c r="I200" s="148" t="n">
        <v>2</v>
      </c>
      <c r="J200" s="148" t="n">
        <v>2</v>
      </c>
      <c r="K200" s="149" t="n">
        <v>3312.63</v>
      </c>
      <c r="L200" s="149" t="n">
        <f aca="false">M200+N200</f>
        <v>2784.03</v>
      </c>
      <c r="M200" s="149" t="n">
        <v>2784.03</v>
      </c>
      <c r="N200" s="190"/>
      <c r="O200" s="151" t="n">
        <v>2</v>
      </c>
      <c r="P200" s="149" t="n">
        <v>4329.79</v>
      </c>
      <c r="Q200" s="149" t="n">
        <f aca="false">R200+S200</f>
        <v>4329.79</v>
      </c>
      <c r="R200" s="149" t="n">
        <v>4329.79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72"/>
      <c r="B201" s="73"/>
      <c r="C201" s="73"/>
      <c r="D201" s="73"/>
      <c r="E201" s="73"/>
      <c r="F201" s="42" t="s">
        <v>212</v>
      </c>
      <c r="G201" s="164" t="s">
        <v>26</v>
      </c>
      <c r="H201" s="171" t="n">
        <v>4</v>
      </c>
      <c r="I201" s="165" t="n">
        <v>1</v>
      </c>
      <c r="J201" s="165" t="n">
        <v>1</v>
      </c>
      <c r="K201" s="166" t="n">
        <v>1409.6</v>
      </c>
      <c r="L201" s="166" t="n">
        <f aca="false">M201+N201</f>
        <v>1409.6</v>
      </c>
      <c r="M201" s="166" t="n">
        <f aca="false">1409.6</f>
        <v>1409.6</v>
      </c>
      <c r="N201" s="156"/>
      <c r="O201" s="168" t="n">
        <v>2</v>
      </c>
      <c r="P201" s="166" t="n">
        <v>1321.5</v>
      </c>
      <c r="Q201" s="166" t="n">
        <f aca="false">R201+S201</f>
        <v>1321.5</v>
      </c>
      <c r="R201" s="166"/>
      <c r="S201" s="156" t="n">
        <v>1321.5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134</v>
      </c>
      <c r="C202" s="74" t="s">
        <v>20</v>
      </c>
      <c r="D202" s="74"/>
      <c r="E202" s="74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90"/>
      <c r="O202" s="151" t="n">
        <v>1</v>
      </c>
      <c r="P202" s="149" t="n">
        <v>13019.26</v>
      </c>
      <c r="Q202" s="149" t="n">
        <f aca="false">R202+S202</f>
        <v>13019.26</v>
      </c>
      <c r="R202" s="149" t="n">
        <v>13019.26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72"/>
      <c r="B203" s="73"/>
      <c r="C203" s="73"/>
      <c r="D203" s="73"/>
      <c r="E203" s="73"/>
      <c r="F203" s="42" t="s">
        <v>213</v>
      </c>
      <c r="G203" s="164" t="s">
        <v>26</v>
      </c>
      <c r="H203" s="153" t="n">
        <v>2</v>
      </c>
      <c r="I203" s="165"/>
      <c r="J203" s="165"/>
      <c r="K203" s="166"/>
      <c r="L203" s="166" t="n">
        <f aca="false">M203+N203</f>
        <v>0</v>
      </c>
      <c r="M203" s="166"/>
      <c r="N203" s="156"/>
      <c r="O203" s="168" t="n">
        <v>5</v>
      </c>
      <c r="P203" s="166" t="n">
        <v>23840.15</v>
      </c>
      <c r="Q203" s="166" t="n">
        <f aca="false">R203+S203</f>
        <v>19875.62</v>
      </c>
      <c r="R203" s="166"/>
      <c r="S203" s="156" t="n">
        <v>19875.62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17"/>
      <c r="B204" s="18" t="s">
        <v>135</v>
      </c>
      <c r="C204" s="19" t="s">
        <v>20</v>
      </c>
      <c r="D204" s="19"/>
      <c r="E204" s="19" t="s">
        <v>69</v>
      </c>
      <c r="F204" s="22"/>
      <c r="G204" s="146" t="s">
        <v>22</v>
      </c>
      <c r="H204" s="159" t="n">
        <v>10</v>
      </c>
      <c r="I204" s="148" t="n">
        <v>4</v>
      </c>
      <c r="J204" s="148" t="n">
        <v>4</v>
      </c>
      <c r="K204" s="149" t="n">
        <v>5030.51</v>
      </c>
      <c r="L204" s="149" t="n">
        <f aca="false">M204+N204</f>
        <v>4158.32</v>
      </c>
      <c r="M204" s="149" t="n">
        <v>2995.4</v>
      </c>
      <c r="N204" s="190" t="n">
        <v>1162.92</v>
      </c>
      <c r="O204" s="151" t="n">
        <v>12</v>
      </c>
      <c r="P204" s="149" t="n">
        <v>22594.45</v>
      </c>
      <c r="Q204" s="149" t="n">
        <f aca="false">R204+S204</f>
        <v>16446.2</v>
      </c>
      <c r="R204" s="149" t="n">
        <v>14331.8</v>
      </c>
      <c r="S204" s="190" t="n">
        <v>2114.4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277</v>
      </c>
      <c r="G205" s="152" t="s">
        <v>26</v>
      </c>
      <c r="H205" s="171" t="n">
        <v>6</v>
      </c>
      <c r="I205" s="154"/>
      <c r="J205" s="154" t="n">
        <v>2</v>
      </c>
      <c r="K205" s="155" t="n">
        <v>1409.6</v>
      </c>
      <c r="L205" s="155" t="n">
        <f aca="false">M205+N205</f>
        <v>0</v>
      </c>
      <c r="M205" s="155"/>
      <c r="N205" s="156"/>
      <c r="O205" s="157" t="n">
        <v>2</v>
      </c>
      <c r="P205" s="155" t="n">
        <v>2292.9</v>
      </c>
      <c r="Q205" s="155" t="n">
        <f aca="false">R205+S205</f>
        <v>792.9</v>
      </c>
      <c r="R205" s="155" t="n">
        <f aca="false">792.9</f>
        <v>792.9</v>
      </c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136</v>
      </c>
      <c r="C206" s="35" t="s">
        <v>20</v>
      </c>
      <c r="D206" s="35"/>
      <c r="E206" s="35" t="s">
        <v>98</v>
      </c>
      <c r="F206" s="36"/>
      <c r="G206" s="146" t="s">
        <v>22</v>
      </c>
      <c r="H206" s="159" t="n">
        <v>18</v>
      </c>
      <c r="I206" s="160" t="n">
        <v>9</v>
      </c>
      <c r="J206" s="160" t="n">
        <v>12</v>
      </c>
      <c r="K206" s="161" t="n">
        <v>20218.61</v>
      </c>
      <c r="L206" s="161" t="n">
        <f aca="false">M206+N206</f>
        <v>20218.61</v>
      </c>
      <c r="M206" s="161" t="n">
        <v>7070.9</v>
      </c>
      <c r="N206" s="190" t="n">
        <v>13147.71</v>
      </c>
      <c r="O206" s="163" t="n">
        <v>9</v>
      </c>
      <c r="P206" s="161" t="n">
        <v>14877.54</v>
      </c>
      <c r="Q206" s="161" t="n">
        <f aca="false">R206+S206</f>
        <v>14877.54</v>
      </c>
      <c r="R206" s="161" t="n">
        <v>11139.63</v>
      </c>
      <c r="S206" s="190" t="n">
        <v>3737.91</v>
      </c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247</v>
      </c>
      <c r="G207" s="164" t="s">
        <v>23</v>
      </c>
      <c r="H207" s="171" t="n">
        <v>6</v>
      </c>
      <c r="I207" s="165" t="n">
        <v>6</v>
      </c>
      <c r="J207" s="165" t="n">
        <v>6</v>
      </c>
      <c r="K207" s="166" t="n">
        <v>4581.2</v>
      </c>
      <c r="L207" s="166" t="n">
        <f aca="false">M207+N207</f>
        <v>4052.6</v>
      </c>
      <c r="M207" s="166" t="n">
        <v>4052.6</v>
      </c>
      <c r="N207" s="156"/>
      <c r="O207" s="168" t="n">
        <v>7</v>
      </c>
      <c r="P207" s="166" t="n">
        <v>14800.8</v>
      </c>
      <c r="Q207" s="166" t="n">
        <v>1585.8</v>
      </c>
      <c r="R207" s="166" t="n">
        <v>1585.8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137</v>
      </c>
      <c r="C208" s="19" t="s">
        <v>20</v>
      </c>
      <c r="D208" s="19"/>
      <c r="E208" s="19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/>
      <c r="P208" s="149"/>
      <c r="Q208" s="149" t="n">
        <f aca="false">R208+S208</f>
        <v>0</v>
      </c>
      <c r="R208" s="149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20.25" hidden="false" customHeight="true" outlineLevel="0" collapsed="false">
      <c r="A209" s="17"/>
      <c r="B209" s="18"/>
      <c r="C209" s="18"/>
      <c r="D209" s="18"/>
      <c r="E209" s="18"/>
      <c r="F209" s="26" t="s">
        <v>286</v>
      </c>
      <c r="G209" s="152" t="s">
        <v>26</v>
      </c>
      <c r="H209" s="153" t="n">
        <v>8</v>
      </c>
      <c r="I209" s="154" t="n">
        <v>1</v>
      </c>
      <c r="J209" s="154" t="n">
        <v>1</v>
      </c>
      <c r="K209" s="155" t="n">
        <v>1938.2</v>
      </c>
      <c r="L209" s="155" t="n">
        <f aca="false">M209+N209</f>
        <v>0</v>
      </c>
      <c r="M209" s="155"/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138</v>
      </c>
      <c r="C210" s="56" t="s">
        <v>33</v>
      </c>
      <c r="D210" s="56" t="s">
        <v>139</v>
      </c>
      <c r="E210" s="56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90"/>
      <c r="O210" s="163"/>
      <c r="P210" s="161"/>
      <c r="Q210" s="161" t="n">
        <f aca="false">R210+S210</f>
        <v>0</v>
      </c>
      <c r="R210" s="161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214</v>
      </c>
      <c r="G211" s="152" t="s">
        <v>26</v>
      </c>
      <c r="H211" s="171" t="n">
        <v>5</v>
      </c>
      <c r="I211" s="154" t="n">
        <v>1</v>
      </c>
      <c r="J211" s="154" t="n">
        <v>1</v>
      </c>
      <c r="K211" s="155" t="n">
        <v>2466.8</v>
      </c>
      <c r="L211" s="155" t="n">
        <f aca="false">M211+N211</f>
        <v>2466.8</v>
      </c>
      <c r="M211" s="155" t="n">
        <f aca="false">2466.8</f>
        <v>2466.8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33"/>
      <c r="B212" s="34" t="s">
        <v>140</v>
      </c>
      <c r="C212" s="35" t="s">
        <v>20</v>
      </c>
      <c r="D212" s="35"/>
      <c r="E212" s="35" t="s">
        <v>141</v>
      </c>
      <c r="F212" s="36"/>
      <c r="G212" s="146" t="s">
        <v>22</v>
      </c>
      <c r="H212" s="159" t="n">
        <v>13</v>
      </c>
      <c r="I212" s="160" t="n">
        <v>3</v>
      </c>
      <c r="J212" s="160" t="n">
        <v>3</v>
      </c>
      <c r="K212" s="161" t="n">
        <v>3881.13</v>
      </c>
      <c r="L212" s="161" t="n">
        <f aca="false">M212+N212</f>
        <v>3881.13</v>
      </c>
      <c r="M212" s="161" t="n">
        <v>3881.13</v>
      </c>
      <c r="N212" s="190"/>
      <c r="O212" s="163" t="n">
        <v>8</v>
      </c>
      <c r="P212" s="161" t="n">
        <v>21585.86</v>
      </c>
      <c r="Q212" s="161" t="n">
        <f aca="false">R212+S212</f>
        <v>21585.86</v>
      </c>
      <c r="R212" s="161" t="n">
        <v>21585.86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215</v>
      </c>
      <c r="G213" s="164" t="s">
        <v>26</v>
      </c>
      <c r="H213" s="175" t="n">
        <v>1</v>
      </c>
      <c r="I213" s="165"/>
      <c r="J213" s="165"/>
      <c r="K213" s="166"/>
      <c r="L213" s="166" t="n">
        <f aca="false">M213+N213</f>
        <v>0</v>
      </c>
      <c r="M213" s="166"/>
      <c r="N213" s="156"/>
      <c r="O213" s="168"/>
      <c r="P213" s="166"/>
      <c r="Q213" s="166" t="n">
        <f aca="false">R213+S213</f>
        <v>0</v>
      </c>
      <c r="R213" s="166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251</v>
      </c>
      <c r="C214" s="19" t="s">
        <v>20</v>
      </c>
      <c r="D214" s="19"/>
      <c r="E214" s="19" t="s">
        <v>116</v>
      </c>
      <c r="F214" s="20"/>
      <c r="G214" s="146" t="s">
        <v>22</v>
      </c>
      <c r="H214" s="173" t="n">
        <v>4</v>
      </c>
      <c r="I214" s="148" t="n">
        <v>3</v>
      </c>
      <c r="J214" s="148" t="n">
        <v>3</v>
      </c>
      <c r="K214" s="149" t="n">
        <v>3851.92</v>
      </c>
      <c r="L214" s="149"/>
      <c r="M214" s="149"/>
      <c r="N214" s="190"/>
      <c r="O214" s="206"/>
      <c r="P214" s="149"/>
      <c r="Q214" s="149"/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252</v>
      </c>
      <c r="G215" s="152" t="s">
        <v>26</v>
      </c>
      <c r="H215" s="174" t="n">
        <v>5</v>
      </c>
      <c r="I215" s="154"/>
      <c r="J215" s="154"/>
      <c r="K215" s="155"/>
      <c r="L215" s="155"/>
      <c r="M215" s="155"/>
      <c r="N215" s="156"/>
      <c r="O215" s="209"/>
      <c r="P215" s="155"/>
      <c r="Q215" s="155"/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142</v>
      </c>
      <c r="C216" s="56" t="s">
        <v>20</v>
      </c>
      <c r="D216" s="56"/>
      <c r="E216" s="56" t="s">
        <v>25</v>
      </c>
      <c r="F216" s="36"/>
      <c r="G216" s="158" t="s">
        <v>22</v>
      </c>
      <c r="H216" s="173" t="n">
        <v>4</v>
      </c>
      <c r="I216" s="148" t="n">
        <v>3</v>
      </c>
      <c r="J216" s="148" t="n">
        <v>3</v>
      </c>
      <c r="K216" s="149" t="n">
        <v>1656.28</v>
      </c>
      <c r="L216" s="149" t="n">
        <f aca="false">M216+N216</f>
        <v>1656.28</v>
      </c>
      <c r="M216" s="149" t="n">
        <v>1656.28</v>
      </c>
      <c r="N216" s="190"/>
      <c r="O216" s="228" t="n">
        <v>4</v>
      </c>
      <c r="P216" s="161" t="n">
        <v>5104.51</v>
      </c>
      <c r="Q216" s="161" t="n">
        <f aca="false">R216+S216</f>
        <v>3342.51</v>
      </c>
      <c r="R216" s="161" t="n">
        <v>3342.51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42" t="s">
        <v>216</v>
      </c>
      <c r="G217" s="164" t="s">
        <v>26</v>
      </c>
      <c r="H217" s="177" t="n">
        <v>7</v>
      </c>
      <c r="I217" s="165" t="n">
        <v>3</v>
      </c>
      <c r="J217" s="165" t="n">
        <v>3</v>
      </c>
      <c r="K217" s="166" t="n">
        <v>5990.8</v>
      </c>
      <c r="L217" s="166" t="n">
        <f aca="false">M217+N217</f>
        <v>9043.61</v>
      </c>
      <c r="M217" s="166" t="n">
        <f aca="false">3052.81</f>
        <v>3052.81</v>
      </c>
      <c r="N217" s="167" t="n">
        <v>5990.8</v>
      </c>
      <c r="O217" s="238" t="n">
        <v>11</v>
      </c>
      <c r="P217" s="166" t="n">
        <v>7343.2</v>
      </c>
      <c r="Q217" s="166" t="n">
        <f aca="false">R217+S217</f>
        <v>4876.19</v>
      </c>
      <c r="R217" s="166" t="n">
        <f aca="false">823.59+1233.4</f>
        <v>2056.99</v>
      </c>
      <c r="S217" s="167" t="n">
        <f aca="false">4052.6-1233.4</f>
        <v>2819.2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287</v>
      </c>
      <c r="C218" s="56" t="s">
        <v>20</v>
      </c>
      <c r="D218" s="19"/>
      <c r="E218" s="56" t="s">
        <v>25</v>
      </c>
      <c r="F218" s="20"/>
      <c r="G218" s="146" t="s">
        <v>22</v>
      </c>
      <c r="H218" s="147"/>
      <c r="I218" s="148"/>
      <c r="J218" s="148"/>
      <c r="K218" s="149"/>
      <c r="L218" s="149" t="n">
        <f aca="false">M218+N218</f>
        <v>0</v>
      </c>
      <c r="M218" s="149"/>
      <c r="N218" s="150"/>
      <c r="O218" s="206"/>
      <c r="P218" s="149"/>
      <c r="Q218" s="149" t="n">
        <f aca="false">R218+S218</f>
        <v>0</v>
      </c>
      <c r="R218" s="149"/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288</v>
      </c>
      <c r="G219" s="152" t="s">
        <v>26</v>
      </c>
      <c r="H219" s="176" t="n">
        <v>3</v>
      </c>
      <c r="I219" s="154" t="n">
        <v>3</v>
      </c>
      <c r="J219" s="154" t="n">
        <v>3</v>
      </c>
      <c r="K219" s="155" t="n">
        <v>3171.6</v>
      </c>
      <c r="L219" s="155" t="n">
        <f aca="false">M219+N219</f>
        <v>0</v>
      </c>
      <c r="M219" s="155"/>
      <c r="N219" s="156"/>
      <c r="O219" s="209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143</v>
      </c>
      <c r="C220" s="35" t="s">
        <v>20</v>
      </c>
      <c r="D220" s="35"/>
      <c r="E220" s="35" t="s">
        <v>25</v>
      </c>
      <c r="F220" s="36"/>
      <c r="G220" s="158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 t="n">
        <v>1</v>
      </c>
      <c r="P220" s="161" t="n">
        <v>1515.67</v>
      </c>
      <c r="Q220" s="161" t="n">
        <f aca="false">R220+S220</f>
        <v>1515.67</v>
      </c>
      <c r="R220" s="161" t="n">
        <v>1515.67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217</v>
      </c>
      <c r="G221" s="164" t="s">
        <v>26</v>
      </c>
      <c r="H221" s="171" t="n">
        <v>6</v>
      </c>
      <c r="I221" s="165"/>
      <c r="J221" s="165"/>
      <c r="K221" s="166"/>
      <c r="L221" s="166" t="n">
        <f aca="false">M221+N221</f>
        <v>704.8</v>
      </c>
      <c r="M221" s="166"/>
      <c r="N221" s="156" t="n">
        <v>704.8</v>
      </c>
      <c r="O221" s="168" t="n">
        <v>6</v>
      </c>
      <c r="P221" s="166" t="n">
        <v>34775.2</v>
      </c>
      <c r="Q221" s="166" t="n">
        <f aca="false">R221+S221</f>
        <v>13743.6</v>
      </c>
      <c r="R221" s="166" t="n">
        <f aca="false">704.8</f>
        <v>704.8</v>
      </c>
      <c r="S221" s="156" t="n">
        <f aca="false">13743.6-704.8</f>
        <v>13038.8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144</v>
      </c>
      <c r="C222" s="19" t="s">
        <v>20</v>
      </c>
      <c r="D222" s="19"/>
      <c r="E222" s="19" t="s">
        <v>81</v>
      </c>
      <c r="F222" s="20"/>
      <c r="G222" s="146" t="s">
        <v>22</v>
      </c>
      <c r="H222" s="159" t="n">
        <v>8</v>
      </c>
      <c r="I222" s="148" t="n">
        <v>7</v>
      </c>
      <c r="J222" s="148" t="n">
        <v>7</v>
      </c>
      <c r="K222" s="149" t="n">
        <v>6542.31</v>
      </c>
      <c r="L222" s="149" t="n">
        <f aca="false">M222+N222</f>
        <v>2096.78</v>
      </c>
      <c r="M222" s="149" t="n">
        <v>2096.78</v>
      </c>
      <c r="N222" s="190"/>
      <c r="O222" s="151" t="n">
        <v>5</v>
      </c>
      <c r="P222" s="149" t="n">
        <v>16284.3</v>
      </c>
      <c r="Q222" s="149" t="n">
        <f aca="false">R222+S222</f>
        <v>3636.77</v>
      </c>
      <c r="R222" s="149" t="n">
        <v>3636.77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218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4052.6</v>
      </c>
      <c r="L223" s="155" t="n">
        <f aca="false">M223+N223</f>
        <v>4052.6</v>
      </c>
      <c r="M223" s="155"/>
      <c r="N223" s="156" t="n">
        <f aca="false">1762+2290.6</f>
        <v>4052.6</v>
      </c>
      <c r="O223" s="157" t="n">
        <v>2</v>
      </c>
      <c r="P223" s="155" t="n">
        <v>4493.1</v>
      </c>
      <c r="Q223" s="155" t="n">
        <f aca="false">R223+S223</f>
        <v>4493.1</v>
      </c>
      <c r="R223" s="155"/>
      <c r="S223" s="156" t="n">
        <v>4493.1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145</v>
      </c>
      <c r="C224" s="35" t="s">
        <v>20</v>
      </c>
      <c r="D224" s="35"/>
      <c r="E224" s="35" t="s">
        <v>98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71"/>
      <c r="G225" s="164" t="s">
        <v>23</v>
      </c>
      <c r="H225" s="175"/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146</v>
      </c>
      <c r="C226" s="19" t="s">
        <v>20</v>
      </c>
      <c r="D226" s="19"/>
      <c r="E226" s="19" t="s">
        <v>25</v>
      </c>
      <c r="F226" s="22"/>
      <c r="G226" s="146" t="s">
        <v>22</v>
      </c>
      <c r="H226" s="173" t="n">
        <v>8</v>
      </c>
      <c r="I226" s="148" t="n">
        <v>4</v>
      </c>
      <c r="J226" s="148" t="n">
        <v>4</v>
      </c>
      <c r="K226" s="149" t="n">
        <v>2819.2</v>
      </c>
      <c r="L226" s="149" t="n">
        <f aca="false">M226+N226</f>
        <v>2819.2</v>
      </c>
      <c r="M226" s="149" t="n">
        <v>2819.2</v>
      </c>
      <c r="N226" s="190"/>
      <c r="O226" s="206" t="n">
        <v>1</v>
      </c>
      <c r="P226" s="149" t="n">
        <v>1546.68</v>
      </c>
      <c r="Q226" s="149" t="n">
        <f aca="false">R226+S226</f>
        <v>1546.68</v>
      </c>
      <c r="R226" s="149" t="n">
        <v>1546.68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42" t="s">
        <v>219</v>
      </c>
      <c r="G227" s="164" t="s">
        <v>26</v>
      </c>
      <c r="H227" s="178" t="n">
        <v>1</v>
      </c>
      <c r="I227" s="165"/>
      <c r="J227" s="165"/>
      <c r="K227" s="166"/>
      <c r="L227" s="166" t="n">
        <f aca="false">M227+N227</f>
        <v>0</v>
      </c>
      <c r="M227" s="166" t="n">
        <v>0</v>
      </c>
      <c r="N227" s="167"/>
      <c r="O227" s="238" t="n">
        <v>1</v>
      </c>
      <c r="P227" s="166" t="n">
        <v>1585.8</v>
      </c>
      <c r="Q227" s="166" t="n">
        <f aca="false">R227+S227</f>
        <v>1585.8</v>
      </c>
      <c r="R227" s="166" t="n">
        <v>1585.8</v>
      </c>
      <c r="S227" s="167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289</v>
      </c>
      <c r="C228" s="19"/>
      <c r="D228" s="19"/>
      <c r="E228" s="19"/>
      <c r="F228" s="20"/>
      <c r="G228" s="146" t="s">
        <v>22</v>
      </c>
      <c r="H228" s="173" t="n">
        <v>1</v>
      </c>
      <c r="I228" s="148"/>
      <c r="J228" s="148"/>
      <c r="K228" s="149"/>
      <c r="L228" s="149" t="n">
        <f aca="false">M228+N228</f>
        <v>0</v>
      </c>
      <c r="M228" s="149"/>
      <c r="N228" s="224"/>
      <c r="O228" s="151"/>
      <c r="P228" s="149"/>
      <c r="Q228" s="149" t="n">
        <f aca="false">R228+S228</f>
        <v>0</v>
      </c>
      <c r="R228" s="149"/>
      <c r="S228" s="15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57"/>
      <c r="G229" s="152" t="s">
        <v>23</v>
      </c>
      <c r="H229" s="174" t="n">
        <v>1</v>
      </c>
      <c r="I229" s="154" t="n">
        <v>1</v>
      </c>
      <c r="J229" s="154" t="n">
        <v>1</v>
      </c>
      <c r="K229" s="155" t="n">
        <v>2325.84</v>
      </c>
      <c r="L229" s="155" t="n">
        <f aca="false">M229+N229</f>
        <v>0</v>
      </c>
      <c r="M229" s="155"/>
      <c r="N229" s="226"/>
      <c r="O229" s="157"/>
      <c r="P229" s="155"/>
      <c r="Q229" s="155" t="n">
        <f aca="false">R229+S229</f>
        <v>0</v>
      </c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147</v>
      </c>
      <c r="C230" s="56" t="s">
        <v>20</v>
      </c>
      <c r="D230" s="56"/>
      <c r="E230" s="56" t="s">
        <v>25</v>
      </c>
      <c r="F230" s="97"/>
      <c r="G230" s="158" t="s">
        <v>22</v>
      </c>
      <c r="H230" s="159" t="n">
        <v>3</v>
      </c>
      <c r="I230" s="160" t="n">
        <v>3</v>
      </c>
      <c r="J230" s="160" t="n">
        <v>3</v>
      </c>
      <c r="K230" s="161" t="n">
        <v>2093.26</v>
      </c>
      <c r="L230" s="161" t="n">
        <f aca="false">M230+N230</f>
        <v>2093.26</v>
      </c>
      <c r="M230" s="161" t="n">
        <v>2093.26</v>
      </c>
      <c r="N230" s="190"/>
      <c r="O230" s="163" t="n">
        <v>4</v>
      </c>
      <c r="P230" s="161" t="n">
        <v>16436.74</v>
      </c>
      <c r="Q230" s="161" t="n">
        <f aca="false">R230+S230</f>
        <v>16436.74</v>
      </c>
      <c r="R230" s="161" t="n">
        <v>16436.74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26" t="s">
        <v>220</v>
      </c>
      <c r="G231" s="152" t="s">
        <v>26</v>
      </c>
      <c r="H231" s="171" t="n">
        <v>11</v>
      </c>
      <c r="I231" s="154" t="n">
        <v>1</v>
      </c>
      <c r="J231" s="154" t="n">
        <v>2</v>
      </c>
      <c r="K231" s="155" t="n">
        <v>6871.8</v>
      </c>
      <c r="L231" s="189" t="n">
        <f aca="false">M231+N231</f>
        <v>528.6</v>
      </c>
      <c r="M231" s="155" t="n">
        <v>0</v>
      </c>
      <c r="N231" s="167" t="n">
        <v>528.6</v>
      </c>
      <c r="O231" s="157" t="n">
        <v>5</v>
      </c>
      <c r="P231" s="155" t="n">
        <v>13038.8</v>
      </c>
      <c r="Q231" s="161" t="n">
        <f aca="false">R231+S231</f>
        <v>24315.6</v>
      </c>
      <c r="R231" s="155" t="n">
        <f aca="false">7048+528.6+5638.4</f>
        <v>13215</v>
      </c>
      <c r="S231" s="156" t="n">
        <v>11100.6</v>
      </c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148</v>
      </c>
      <c r="C232" s="19" t="s">
        <v>20</v>
      </c>
      <c r="D232" s="19"/>
      <c r="E232" s="19" t="s">
        <v>21</v>
      </c>
      <c r="F232" s="22"/>
      <c r="G232" s="146" t="s">
        <v>22</v>
      </c>
      <c r="H232" s="173" t="n">
        <v>2</v>
      </c>
      <c r="I232" s="148" t="n">
        <v>1</v>
      </c>
      <c r="J232" s="148" t="n">
        <v>1</v>
      </c>
      <c r="K232" s="149" t="n">
        <v>436.1</v>
      </c>
      <c r="L232" s="149" t="n">
        <f aca="false">M232+N232</f>
        <v>436.1</v>
      </c>
      <c r="M232" s="149" t="n">
        <v>436.1</v>
      </c>
      <c r="N232" s="198"/>
      <c r="O232" s="151" t="n">
        <v>1</v>
      </c>
      <c r="P232" s="149" t="n">
        <v>13232.99</v>
      </c>
      <c r="Q232" s="149" t="n">
        <f aca="false">R232+S232</f>
        <v>13232.99</v>
      </c>
      <c r="R232" s="149" t="n">
        <v>13232.99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248</v>
      </c>
      <c r="G233" s="152" t="s">
        <v>23</v>
      </c>
      <c r="H233" s="171" t="n">
        <v>2</v>
      </c>
      <c r="I233" s="154"/>
      <c r="J233" s="154"/>
      <c r="K233" s="155"/>
      <c r="L233" s="155" t="n">
        <f aca="false">M233+N233</f>
        <v>0</v>
      </c>
      <c r="M233" s="155"/>
      <c r="N233" s="156"/>
      <c r="O233" s="157" t="n">
        <v>1</v>
      </c>
      <c r="P233" s="155" t="n">
        <v>572.65</v>
      </c>
      <c r="Q233" s="155" t="n">
        <v>572.65</v>
      </c>
      <c r="R233" s="155" t="n">
        <v>572.65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99"/>
      <c r="B234" s="100" t="s">
        <v>149</v>
      </c>
      <c r="C234" s="100"/>
      <c r="D234" s="100"/>
      <c r="E234" s="100"/>
      <c r="F234" s="100"/>
      <c r="G234" s="212"/>
      <c r="H234" s="213" t="n">
        <f aca="false">SUM(H9:H233)</f>
        <v>1338</v>
      </c>
      <c r="I234" s="214" t="n">
        <f aca="false">SUM(I9:I233)</f>
        <v>615</v>
      </c>
      <c r="J234" s="214" t="n">
        <f aca="false">SUM(J9:J233)</f>
        <v>683</v>
      </c>
      <c r="K234" s="215" t="n">
        <f aca="false">SUM(K9:K233)</f>
        <v>936757.66</v>
      </c>
      <c r="L234" s="215" t="n">
        <f aca="false">SUM(L9:L233)</f>
        <v>694141.13</v>
      </c>
      <c r="M234" s="215" t="n">
        <f aca="false">SUM(M9:M233)</f>
        <v>366888.95</v>
      </c>
      <c r="N234" s="243" t="n">
        <f aca="false">SUM(N9:N233)</f>
        <v>327252.18</v>
      </c>
      <c r="O234" s="244" t="n">
        <f aca="false">SUM(O9:O233)</f>
        <v>822</v>
      </c>
      <c r="P234" s="245" t="n">
        <f aca="false">SUM(P9:P233)</f>
        <v>2356584.76</v>
      </c>
      <c r="Q234" s="245" t="n">
        <f aca="false">SUM(Q9:Q233)</f>
        <v>1865148.25</v>
      </c>
      <c r="R234" s="245" t="n">
        <f aca="false">SUM(R9:R233)</f>
        <v>1302793.43</v>
      </c>
      <c r="S234" s="246" t="n">
        <f aca="false">SUM(S9:S233)</f>
        <v>562354.82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 t="s">
        <v>290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2"/>
      <c r="B238" s="2"/>
      <c r="C238" s="2"/>
      <c r="D238" s="2"/>
      <c r="E238" s="2"/>
      <c r="F238" s="103"/>
      <c r="G238" s="104" t="s">
        <v>5</v>
      </c>
      <c r="H238" s="104"/>
      <c r="I238" s="104"/>
      <c r="J238" s="104"/>
      <c r="K238" s="104"/>
      <c r="L238" s="104"/>
      <c r="M238" s="104"/>
      <c r="N238" s="104" t="s">
        <v>6</v>
      </c>
      <c r="O238" s="104"/>
      <c r="P238" s="104"/>
      <c r="Q238" s="104"/>
      <c r="R238" s="104"/>
      <c r="S238" s="105" t="s">
        <v>150</v>
      </c>
      <c r="T238" s="105" t="s">
        <v>253</v>
      </c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103"/>
      <c r="G239" s="106" t="s">
        <v>13</v>
      </c>
      <c r="H239" s="106" t="s">
        <v>14</v>
      </c>
      <c r="I239" s="106" t="s">
        <v>15</v>
      </c>
      <c r="J239" s="106" t="s">
        <v>226</v>
      </c>
      <c r="K239" s="106" t="s">
        <v>16</v>
      </c>
      <c r="L239" s="106" t="s">
        <v>17</v>
      </c>
      <c r="M239" s="106" t="s">
        <v>18</v>
      </c>
      <c r="N239" s="106" t="s">
        <v>15</v>
      </c>
      <c r="O239" s="106" t="s">
        <v>226</v>
      </c>
      <c r="P239" s="106" t="s">
        <v>16</v>
      </c>
      <c r="Q239" s="106" t="s">
        <v>17</v>
      </c>
      <c r="R239" s="106" t="s">
        <v>18</v>
      </c>
      <c r="S239" s="105"/>
      <c r="T239" s="105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107" t="s">
        <v>22</v>
      </c>
      <c r="G240" s="108" t="n">
        <f aca="false">SUMIF($G$9:$G$233,$F$240,H9:H233)</f>
        <v>855</v>
      </c>
      <c r="H240" s="108" t="n">
        <f aca="false">SUMIF($G$9:$G$233,$F$240,I9:I233)</f>
        <v>470</v>
      </c>
      <c r="I240" s="108" t="n">
        <f aca="false">SUMIF($G$9:$G$233,$F$240,J9:J233)</f>
        <v>533</v>
      </c>
      <c r="J240" s="110" t="n">
        <f aca="false">SUMIF($G$9:$G$233,F240,$K$9:$K$233)</f>
        <v>698734.28</v>
      </c>
      <c r="K240" s="110" t="n">
        <f aca="false">SUMIF($G$9:$G$233,$F$240,L9:L233)</f>
        <v>612550.98</v>
      </c>
      <c r="L240" s="110" t="n">
        <f aca="false">SUMIF($G$9:$G$233,$F$240,M9:M233)</f>
        <v>341282.54</v>
      </c>
      <c r="M240" s="110" t="n">
        <f aca="false">SUMIF($G$9:$G$233,$F$240,N9:N233)</f>
        <v>271268.44</v>
      </c>
      <c r="N240" s="108" t="n">
        <f aca="false">SUMIF($G$9:$G$233,$F$240,O9:O233)</f>
        <v>549</v>
      </c>
      <c r="O240" s="110" t="n">
        <f aca="false">SUMIF($G$9:$G$233,F240,$P$9:$P$233)</f>
        <v>1707862.39</v>
      </c>
      <c r="P240" s="110" t="n">
        <f aca="false">SUMIF($G$9:$G$233,$F$240,Q9:Q233)</f>
        <v>1455906.46</v>
      </c>
      <c r="Q240" s="110" t="n">
        <f aca="false">SUMIF($G$9:$G$233,$F$240,R9:R233)</f>
        <v>1105018.49</v>
      </c>
      <c r="R240" s="110" t="n">
        <f aca="false">SUMIF($G$9:$G$233,$F$240,S9:S233)</f>
        <v>350887.97</v>
      </c>
      <c r="S240" s="110" t="n">
        <f aca="false">Q240+L240</f>
        <v>1446301.03</v>
      </c>
      <c r="T240" s="111" t="n">
        <f aca="false">J240-L240+O240-Q240</f>
        <v>960295.64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107" t="s">
        <v>26</v>
      </c>
      <c r="G241" s="108" t="n">
        <f aca="false">SUMIF($G$9:$G$233,$F$241,H9:H233)</f>
        <v>292</v>
      </c>
      <c r="H241" s="108" t="n">
        <v>20</v>
      </c>
      <c r="I241" s="108" t="n">
        <f aca="false">SUMIF($G$9:$G$233,$F$241,J9:J233)</f>
        <v>83</v>
      </c>
      <c r="J241" s="110" t="n">
        <f aca="false">SUMIF($G$9:$G$233,F241,$K$9:$K$233)</f>
        <v>156998.54</v>
      </c>
      <c r="K241" s="110" t="n">
        <f aca="false">SUMIF($G$9:$G$233,$F$241,L9:L233)</f>
        <v>68198.95</v>
      </c>
      <c r="L241" s="110" t="n">
        <f aca="false">SUMIF($G$9:$G$233,$F$241,M9:M233)</f>
        <v>12215.21</v>
      </c>
      <c r="M241" s="110" t="n">
        <f aca="false">SUMIF($G$9:$G$233,$F$241,N9:N233)</f>
        <v>55983.74</v>
      </c>
      <c r="N241" s="108" t="n">
        <f aca="false">SUMIF($G$9:$G$233,$F$241,O9:O233)</f>
        <v>188</v>
      </c>
      <c r="O241" s="110" t="n">
        <f aca="false">SUMIF($G$9:$G$233,F241,$P$9:$P$233)</f>
        <v>450001.6</v>
      </c>
      <c r="P241" s="110" t="n">
        <f aca="false">SUMIF($G$9:$G$233,$F$241,Q9:Q233)</f>
        <v>357751.64</v>
      </c>
      <c r="Q241" s="110" t="n">
        <f aca="false">SUMIF($G$9:$G$233,$F$241,R9:R233)</f>
        <v>146284.79</v>
      </c>
      <c r="R241" s="110" t="n">
        <f aca="false">SUMIF($G$9:$G$233,$F$241,S9:S233)</f>
        <v>211466.85</v>
      </c>
      <c r="S241" s="110" t="n">
        <f aca="false">Q241+L241</f>
        <v>158500</v>
      </c>
      <c r="T241" s="111" t="n">
        <f aca="false">J241-L241+O241-Q241</f>
        <v>448500.14</v>
      </c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107" t="s">
        <v>23</v>
      </c>
      <c r="G242" s="108" t="n">
        <f aca="false">SUMIF($G$9:$G$233,$F$242,H9:H233)</f>
        <v>191</v>
      </c>
      <c r="H242" s="108" t="n">
        <f aca="false">SUMIF($G$9:$G$233,$F$242,I9:I233)</f>
        <v>67</v>
      </c>
      <c r="I242" s="108" t="n">
        <f aca="false">SUMIF($G$9:$G$233,$F$242,J9:J233)</f>
        <v>67</v>
      </c>
      <c r="J242" s="110" t="n">
        <f aca="false">SUMIF($G$9:$G$233,F242,$K$9:$K$233)</f>
        <v>81024.84</v>
      </c>
      <c r="K242" s="110" t="n">
        <f aca="false">SUMIF($G$9:$G$233,$F$242,L9:L233)</f>
        <v>13391.2</v>
      </c>
      <c r="L242" s="110" t="n">
        <f aca="false">SUMIF($G$9:$G$233,$F$242,M9:M233)</f>
        <v>13391.2</v>
      </c>
      <c r="M242" s="110" t="n">
        <f aca="false">SUMIF($G$9:$G$233,$F$242,N9:N233)</f>
        <v>0</v>
      </c>
      <c r="N242" s="108" t="n">
        <f aca="false">SUMIF($G$9:$G$233,$F$242,O9:O233)</f>
        <v>85</v>
      </c>
      <c r="O242" s="110" t="n">
        <f aca="false">SUMIF($G$9:$G$233,F242,$P$9:$P$233)</f>
        <v>198720.77</v>
      </c>
      <c r="P242" s="110" t="n">
        <f aca="false">SUMIF($G$9:$G$233,$F$242,Q9:Q233)</f>
        <v>51490.15</v>
      </c>
      <c r="Q242" s="110" t="n">
        <f aca="false">SUMIF($G$9:$G$233,$F$242,R9:R233)</f>
        <v>51490.15</v>
      </c>
      <c r="R242" s="110" t="n">
        <f aca="false">SUMIF($G$9:$G$233,$F$242,S9:S233)</f>
        <v>0</v>
      </c>
      <c r="S242" s="110" t="n">
        <f aca="false">Q242+L242</f>
        <v>64881.35</v>
      </c>
      <c r="T242" s="111" t="n">
        <f aca="false">J242-L242+O242-Q242</f>
        <v>214864.26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16" t="n">
        <f aca="false">G242+G241+G240</f>
        <v>1338</v>
      </c>
      <c r="H243" s="216" t="n">
        <f aca="false">H242+H241+H240</f>
        <v>557</v>
      </c>
      <c r="I243" s="216" t="n">
        <f aca="false">I242+I241+I240</f>
        <v>683</v>
      </c>
      <c r="J243" s="217" t="n">
        <f aca="false">J242+J241+J240</f>
        <v>936757.66</v>
      </c>
      <c r="K243" s="217" t="n">
        <f aca="false">K242+K241+K240</f>
        <v>694141.13</v>
      </c>
      <c r="L243" s="217" t="n">
        <f aca="false">L242+L241+L240</f>
        <v>366888.95</v>
      </c>
      <c r="M243" s="217" t="n">
        <f aca="false">M242+M241+M240</f>
        <v>327252.18</v>
      </c>
      <c r="N243" s="216" t="n">
        <f aca="false">N242+N241+N240</f>
        <v>822</v>
      </c>
      <c r="O243" s="217" t="n">
        <f aca="false">O242+O241+O240</f>
        <v>2356584.76</v>
      </c>
      <c r="P243" s="217" t="n">
        <f aca="false">P242+P241+P240</f>
        <v>1865148.25</v>
      </c>
      <c r="Q243" s="217" t="n">
        <f aca="false">Q242+Q241+Q240</f>
        <v>1302793.43</v>
      </c>
      <c r="R243" s="217" t="n">
        <f aca="false">R242+R241+R240</f>
        <v>562354.82</v>
      </c>
      <c r="S243" s="217" t="n">
        <f aca="false">S242+S241+S240</f>
        <v>1669682.38</v>
      </c>
      <c r="T243" s="217" t="n">
        <f aca="false">T242+T241+T240</f>
        <v>1623660.04</v>
      </c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F304" s="0" t="s">
        <v>22</v>
      </c>
      <c r="G304" s="0" t="n">
        <v>855</v>
      </c>
      <c r="H304" s="247" t="n">
        <v>470</v>
      </c>
      <c r="I304" s="247" t="n">
        <v>533</v>
      </c>
      <c r="J304" s="0" t="n">
        <v>698634.28</v>
      </c>
      <c r="K304" s="236" t="n">
        <v>578741.37</v>
      </c>
      <c r="L304" s="0" t="n">
        <v>208301.67</v>
      </c>
      <c r="M304" s="0" t="n">
        <v>370439.7</v>
      </c>
      <c r="N304" s="0" t="n">
        <v>549</v>
      </c>
      <c r="O304" s="0" t="n">
        <v>1707859.19</v>
      </c>
      <c r="P304" s="0" t="n">
        <v>1387209.08</v>
      </c>
      <c r="Q304" s="0" t="n">
        <v>868523.33</v>
      </c>
      <c r="R304" s="0" t="n">
        <v>518685.75</v>
      </c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</sheetData>
  <mergeCells count="55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9"/>
    <mergeCell ref="B167:B169"/>
    <mergeCell ref="C167:C169"/>
    <mergeCell ref="D167:D169"/>
    <mergeCell ref="E167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B176:B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F238:F239"/>
    <mergeCell ref="G238:M238"/>
    <mergeCell ref="N238:R238"/>
    <mergeCell ref="S238:S239"/>
    <mergeCell ref="T238:T239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7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19</v>
      </c>
      <c r="I11" s="160" t="n">
        <v>15</v>
      </c>
      <c r="J11" s="160" t="n">
        <v>25</v>
      </c>
      <c r="K11" s="161" t="n">
        <v>47754.54</v>
      </c>
      <c r="L11" s="161" t="n">
        <f aca="false">M11+N11</f>
        <v>28456.91</v>
      </c>
      <c r="M11" s="161" t="n">
        <v>28456.91</v>
      </c>
      <c r="N11" s="239"/>
      <c r="O11" s="151" t="n">
        <v>9</v>
      </c>
      <c r="P11" s="149" t="n">
        <v>39893.36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25</v>
      </c>
      <c r="I13" s="148" t="n">
        <v>19</v>
      </c>
      <c r="J13" s="148" t="n">
        <v>27</v>
      </c>
      <c r="K13" s="149" t="n">
        <v>33453.7</v>
      </c>
      <c r="L13" s="149" t="n">
        <f aca="false">M13+N13</f>
        <v>26104.4</v>
      </c>
      <c r="M13" s="149" t="n">
        <v>26104.4</v>
      </c>
      <c r="N13" s="249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4</v>
      </c>
      <c r="J14" s="154" t="n">
        <v>4</v>
      </c>
      <c r="K14" s="155" t="n">
        <v>7576.6</v>
      </c>
      <c r="L14" s="155" t="n">
        <f aca="false">M14+N14</f>
        <v>5462.2</v>
      </c>
      <c r="M14" s="155" t="n">
        <f aca="false">1938.2</f>
        <v>1938.2</v>
      </c>
      <c r="N14" s="156" t="n">
        <v>3524</v>
      </c>
      <c r="O14" s="209" t="n">
        <v>7</v>
      </c>
      <c r="P14" s="155" t="n">
        <v>11273.8</v>
      </c>
      <c r="Q14" s="155" t="n">
        <f aca="false">R14+S14</f>
        <v>15497.5</v>
      </c>
      <c r="R14" s="155" t="n">
        <f aca="false">1585.8+2106.3+5109.8+2114.4</f>
        <v>10916.3</v>
      </c>
      <c r="S14" s="167" t="n">
        <v>4581.2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/>
      <c r="N16" s="156" t="n">
        <f aca="false">4405</f>
        <v>4405</v>
      </c>
      <c r="O16" s="168" t="n">
        <v>4</v>
      </c>
      <c r="P16" s="166" t="n">
        <v>19515.9</v>
      </c>
      <c r="Q16" s="166" t="n">
        <f aca="false">R16+S16</f>
        <v>15858</v>
      </c>
      <c r="R16" s="166" t="n">
        <f aca="false">10924.4</f>
        <v>10924.4</v>
      </c>
      <c r="S16" s="167" t="n">
        <f aca="false">4933.6</f>
        <v>4933.6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 t="n">
        <v>1</v>
      </c>
      <c r="J17" s="148" t="n">
        <v>1</v>
      </c>
      <c r="K17" s="149" t="n">
        <v>528.6</v>
      </c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5</v>
      </c>
      <c r="I18" s="154" t="n">
        <v>2</v>
      </c>
      <c r="J18" s="154" t="n">
        <v>2</v>
      </c>
      <c r="K18" s="155" t="n">
        <v>1389.4</v>
      </c>
      <c r="L18" s="155" t="n">
        <f aca="false">M18+N18</f>
        <v>704.8</v>
      </c>
      <c r="M18" s="155" t="n">
        <f aca="false">704.8</f>
        <v>704.8</v>
      </c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18</v>
      </c>
      <c r="I19" s="160" t="n">
        <v>11</v>
      </c>
      <c r="J19" s="160" t="n">
        <v>12</v>
      </c>
      <c r="K19" s="161" t="n">
        <v>14830.79</v>
      </c>
      <c r="L19" s="161" t="n">
        <f aca="false">M19+N19</f>
        <v>13377.14</v>
      </c>
      <c r="M19" s="161" t="n">
        <v>4012.08</v>
      </c>
      <c r="N19" s="190" t="n">
        <v>9365.06</v>
      </c>
      <c r="O19" s="163" t="n">
        <v>19</v>
      </c>
      <c r="P19" s="161" t="n">
        <v>43580.22</v>
      </c>
      <c r="Q19" s="161" t="n">
        <f aca="false">R19+S19</f>
        <v>36873.8</v>
      </c>
      <c r="R19" s="161" t="n">
        <v>17766.28</v>
      </c>
      <c r="S19" s="190" t="n">
        <v>19107.52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3</v>
      </c>
      <c r="I20" s="154" t="n">
        <v>1</v>
      </c>
      <c r="J20" s="154" t="n">
        <v>1</v>
      </c>
      <c r="K20" s="155" t="n">
        <v>1762</v>
      </c>
      <c r="L20" s="155" t="n">
        <f aca="false">M20+N20</f>
        <v>0</v>
      </c>
      <c r="M20" s="155"/>
      <c r="N20" s="156"/>
      <c r="O20" s="157" t="n">
        <v>3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24</v>
      </c>
      <c r="I21" s="160" t="n">
        <v>16</v>
      </c>
      <c r="J21" s="160" t="n">
        <v>27</v>
      </c>
      <c r="K21" s="161" t="n">
        <v>36987</v>
      </c>
      <c r="L21" s="161" t="n">
        <f aca="false">M21+N21</f>
        <v>28289.78</v>
      </c>
      <c r="M21" s="161" t="n">
        <v>24311.18</v>
      </c>
      <c r="N21" s="190" t="n">
        <v>3978.6</v>
      </c>
      <c r="O21" s="151" t="n">
        <v>22</v>
      </c>
      <c r="P21" s="149" t="n">
        <v>47120.13</v>
      </c>
      <c r="Q21" s="149" t="n">
        <f aca="false">R21+S21</f>
        <v>34926.54</v>
      </c>
      <c r="R21" s="149" t="n">
        <v>27767.18</v>
      </c>
      <c r="S21" s="198" t="n">
        <v>7159.36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4</v>
      </c>
      <c r="P22" s="155" t="n">
        <v>5462.2</v>
      </c>
      <c r="Q22" s="155" t="n">
        <v>704.8</v>
      </c>
      <c r="R22" s="155" t="n">
        <v>704.8</v>
      </c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17</v>
      </c>
      <c r="I23" s="148" t="n">
        <v>13</v>
      </c>
      <c r="J23" s="148" t="n">
        <v>13</v>
      </c>
      <c r="K23" s="148" t="n">
        <v>4140.7</v>
      </c>
      <c r="L23" s="149" t="n">
        <f aca="false">M23+N23</f>
        <v>4140.7</v>
      </c>
      <c r="M23" s="149" t="n">
        <v>4140.7</v>
      </c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 t="n">
        <v>4</v>
      </c>
      <c r="I24" s="154" t="n">
        <v>1</v>
      </c>
      <c r="J24" s="154" t="n">
        <v>1</v>
      </c>
      <c r="K24" s="155" t="n">
        <v>1409.6</v>
      </c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22</v>
      </c>
      <c r="I25" s="160" t="n">
        <v>21</v>
      </c>
      <c r="J25" s="160" t="n">
        <v>30</v>
      </c>
      <c r="K25" s="161" t="n">
        <v>43954.53</v>
      </c>
      <c r="L25" s="161" t="n">
        <f aca="false">M25+N25</f>
        <v>43954.53</v>
      </c>
      <c r="M25" s="161" t="n">
        <v>33328.26</v>
      </c>
      <c r="N25" s="190" t="n">
        <v>10626.27</v>
      </c>
      <c r="O25" s="151" t="n">
        <v>8</v>
      </c>
      <c r="P25" s="149" t="n">
        <v>21503.23</v>
      </c>
      <c r="Q25" s="149" t="n">
        <f aca="false">R25+S25</f>
        <v>20128.87</v>
      </c>
      <c r="R25" s="149" t="n">
        <v>10769.07</v>
      </c>
      <c r="S25" s="198" t="n">
        <v>9359.8</v>
      </c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5</v>
      </c>
      <c r="I26" s="165" t="n">
        <v>2</v>
      </c>
      <c r="J26" s="165" t="n">
        <v>2</v>
      </c>
      <c r="K26" s="166" t="n">
        <v>1409.6</v>
      </c>
      <c r="L26" s="166" t="n">
        <f aca="false">M26+N26</f>
        <v>1409.6</v>
      </c>
      <c r="M26" s="166"/>
      <c r="N26" s="156" t="n">
        <v>1409.6</v>
      </c>
      <c r="O26" s="157" t="n">
        <v>10</v>
      </c>
      <c r="P26" s="155" t="n">
        <v>19558.2</v>
      </c>
      <c r="Q26" s="155" t="n">
        <f aca="false">R26+S26</f>
        <v>28368.2</v>
      </c>
      <c r="R26" s="155" t="n">
        <f aca="false">2995.4+14272.2</f>
        <v>17267.6</v>
      </c>
      <c r="S26" s="156" t="n">
        <f aca="false">11100.6</f>
        <v>11100.6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1550.56</v>
      </c>
      <c r="M27" s="149"/>
      <c r="N27" s="190" t="n">
        <v>1550.56</v>
      </c>
      <c r="O27" s="151" t="n">
        <v>4</v>
      </c>
      <c r="P27" s="149" t="n">
        <v>14655.02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6695.6</v>
      </c>
      <c r="M28" s="166" t="n">
        <f aca="false">4052.6</f>
        <v>4052.6</v>
      </c>
      <c r="N28" s="167" t="n">
        <f aca="false">2643</f>
        <v>2643</v>
      </c>
      <c r="O28" s="168" t="n">
        <v>10</v>
      </c>
      <c r="P28" s="166" t="n">
        <v>19381.4</v>
      </c>
      <c r="Q28" s="166" t="n">
        <f aca="false">R28+S28</f>
        <v>17267.7</v>
      </c>
      <c r="R28" s="166" t="n">
        <f aca="false">5286+2290.6-23.95+9715.05</f>
        <v>17267.7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291</v>
      </c>
      <c r="C29" s="19"/>
      <c r="D29" s="19"/>
      <c r="E29" s="19"/>
      <c r="F29" s="20"/>
      <c r="G29" s="146" t="s">
        <v>22</v>
      </c>
      <c r="H29" s="147"/>
      <c r="I29" s="148"/>
      <c r="J29" s="148"/>
      <c r="K29" s="149"/>
      <c r="L29" s="149" t="n">
        <f aca="false">M29+N29</f>
        <v>0</v>
      </c>
      <c r="M29" s="149"/>
      <c r="N29" s="150"/>
      <c r="O29" s="206" t="n">
        <v>1</v>
      </c>
      <c r="P29" s="149" t="n">
        <v>36290.52</v>
      </c>
      <c r="Q29" s="149" t="n">
        <v>36290.52</v>
      </c>
      <c r="R29" s="149" t="n">
        <v>36290.52</v>
      </c>
      <c r="S29" s="15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57"/>
      <c r="G30" s="152" t="s">
        <v>26</v>
      </c>
      <c r="H30" s="176"/>
      <c r="I30" s="154"/>
      <c r="J30" s="154"/>
      <c r="K30" s="155"/>
      <c r="L30" s="155" t="n">
        <f aca="false">M30+N30</f>
        <v>0</v>
      </c>
      <c r="M30" s="155"/>
      <c r="N30" s="156"/>
      <c r="O30" s="209"/>
      <c r="P30" s="155"/>
      <c r="Q30" s="155" t="n">
        <v>0</v>
      </c>
      <c r="R30" s="155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54"/>
      <c r="B31" s="55" t="s">
        <v>153</v>
      </c>
      <c r="C31" s="56" t="s">
        <v>20</v>
      </c>
      <c r="D31" s="56"/>
      <c r="E31" s="56" t="s">
        <v>278</v>
      </c>
      <c r="F31" s="36"/>
      <c r="G31" s="158" t="s">
        <v>22</v>
      </c>
      <c r="H31" s="169" t="n">
        <v>7</v>
      </c>
      <c r="I31" s="160" t="n">
        <v>3</v>
      </c>
      <c r="J31" s="160" t="n">
        <v>3</v>
      </c>
      <c r="K31" s="161" t="n">
        <v>4864.84</v>
      </c>
      <c r="L31" s="161" t="n">
        <f aca="false">M31+N31</f>
        <v>0</v>
      </c>
      <c r="M31" s="161"/>
      <c r="N31" s="190"/>
      <c r="O31" s="163"/>
      <c r="P31" s="161"/>
      <c r="Q31" s="161" t="n">
        <f aca="false">R31+S31</f>
        <v>0</v>
      </c>
      <c r="R31" s="161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54"/>
      <c r="B32" s="55"/>
      <c r="C32" s="55"/>
      <c r="D32" s="55"/>
      <c r="E32" s="55"/>
      <c r="F32" s="42" t="s">
        <v>231</v>
      </c>
      <c r="G32" s="164" t="s">
        <v>23</v>
      </c>
      <c r="H32" s="178" t="n">
        <v>11</v>
      </c>
      <c r="I32" s="165" t="n">
        <v>1</v>
      </c>
      <c r="J32" s="165" t="n">
        <v>1</v>
      </c>
      <c r="K32" s="166" t="n">
        <v>2114.4</v>
      </c>
      <c r="L32" s="166" t="n">
        <f aca="false">M32+N32</f>
        <v>0</v>
      </c>
      <c r="M32" s="166"/>
      <c r="N32" s="167"/>
      <c r="O32" s="168"/>
      <c r="P32" s="166"/>
      <c r="Q32" s="166" t="n">
        <f aca="false">R32+S32</f>
        <v>0</v>
      </c>
      <c r="R32" s="166"/>
      <c r="S32" s="167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17"/>
      <c r="B33" s="55" t="s">
        <v>292</v>
      </c>
      <c r="C33" s="19"/>
      <c r="D33" s="19"/>
      <c r="E33" s="19"/>
      <c r="F33" s="20"/>
      <c r="G33" s="146" t="s">
        <v>22</v>
      </c>
      <c r="H33" s="147" t="n">
        <v>1</v>
      </c>
      <c r="I33" s="148"/>
      <c r="J33" s="148"/>
      <c r="K33" s="149"/>
      <c r="L33" s="149" t="n">
        <f aca="false">M33+N33</f>
        <v>0</v>
      </c>
      <c r="M33" s="149"/>
      <c r="N33" s="150"/>
      <c r="O33" s="206"/>
      <c r="P33" s="149"/>
      <c r="Q33" s="149" t="n">
        <v>0</v>
      </c>
      <c r="R33" s="149"/>
      <c r="S33" s="15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17"/>
      <c r="B34" s="55"/>
      <c r="C34" s="55"/>
      <c r="D34" s="55"/>
      <c r="E34" s="55"/>
      <c r="F34" s="57"/>
      <c r="G34" s="152" t="s">
        <v>26</v>
      </c>
      <c r="H34" s="176"/>
      <c r="I34" s="154"/>
      <c r="J34" s="154"/>
      <c r="K34" s="155"/>
      <c r="L34" s="155" t="n">
        <f aca="false">M34+N34</f>
        <v>0</v>
      </c>
      <c r="M34" s="155"/>
      <c r="N34" s="156"/>
      <c r="O34" s="209"/>
      <c r="P34" s="155"/>
      <c r="Q34" s="155" t="n"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54"/>
      <c r="B35" s="55" t="s">
        <v>232</v>
      </c>
      <c r="C35" s="56"/>
      <c r="D35" s="56"/>
      <c r="E35" s="56"/>
      <c r="F35" s="36"/>
      <c r="G35" s="158" t="s">
        <v>22</v>
      </c>
      <c r="H35" s="169" t="n">
        <v>13</v>
      </c>
      <c r="I35" s="160" t="n">
        <v>9</v>
      </c>
      <c r="J35" s="160" t="n">
        <v>10</v>
      </c>
      <c r="K35" s="161" t="n">
        <v>18443.74</v>
      </c>
      <c r="L35" s="161" t="n">
        <f aca="false">M35+N35</f>
        <v>16153.14</v>
      </c>
      <c r="M35" s="161" t="n">
        <v>881</v>
      </c>
      <c r="N35" s="190" t="n">
        <v>15272.14</v>
      </c>
      <c r="O35" s="228"/>
      <c r="P35" s="161"/>
      <c r="Q35" s="161" t="n">
        <f aca="false">R35+S35</f>
        <v>0</v>
      </c>
      <c r="R35" s="161"/>
      <c r="S35" s="19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54"/>
      <c r="B36" s="55"/>
      <c r="C36" s="55"/>
      <c r="D36" s="55"/>
      <c r="E36" s="55"/>
      <c r="F36" s="26" t="s">
        <v>265</v>
      </c>
      <c r="G36" s="152" t="s">
        <v>26</v>
      </c>
      <c r="H36" s="176" t="n">
        <v>6</v>
      </c>
      <c r="I36" s="154" t="n">
        <v>3</v>
      </c>
      <c r="J36" s="154" t="n">
        <v>3</v>
      </c>
      <c r="K36" s="155" t="n">
        <v>6343.2</v>
      </c>
      <c r="L36" s="155" t="n">
        <f aca="false">M36+N36</f>
        <v>704.8</v>
      </c>
      <c r="M36" s="155" t="n">
        <f aca="false">704.8</f>
        <v>704.8</v>
      </c>
      <c r="N36" s="156"/>
      <c r="O36" s="209"/>
      <c r="P36" s="155"/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40</v>
      </c>
      <c r="C37" s="56" t="s">
        <v>38</v>
      </c>
      <c r="D37" s="56" t="s">
        <v>41</v>
      </c>
      <c r="E37" s="56" t="s">
        <v>42</v>
      </c>
      <c r="F37" s="36"/>
      <c r="G37" s="158" t="s">
        <v>22</v>
      </c>
      <c r="H37" s="169"/>
      <c r="I37" s="160"/>
      <c r="J37" s="160"/>
      <c r="K37" s="161"/>
      <c r="L37" s="161" t="n">
        <f aca="false">M37+N37</f>
        <v>0</v>
      </c>
      <c r="M37" s="161"/>
      <c r="N37" s="190"/>
      <c r="O37" s="163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57"/>
      <c r="G38" s="152" t="s">
        <v>23</v>
      </c>
      <c r="H38" s="153"/>
      <c r="I38" s="154"/>
      <c r="J38" s="154"/>
      <c r="K38" s="155"/>
      <c r="L38" s="155" t="n">
        <f aca="false">M38+N38</f>
        <v>0</v>
      </c>
      <c r="M38" s="155"/>
      <c r="N38" s="156"/>
      <c r="O38" s="157"/>
      <c r="P38" s="155"/>
      <c r="Q38" s="155" t="n">
        <f aca="false">R38+S38</f>
        <v>0</v>
      </c>
      <c r="R38" s="155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54"/>
      <c r="B39" s="55" t="s">
        <v>43</v>
      </c>
      <c r="C39" s="56" t="s">
        <v>33</v>
      </c>
      <c r="D39" s="56" t="s">
        <v>44</v>
      </c>
      <c r="E39" s="56" t="s">
        <v>45</v>
      </c>
      <c r="F39" s="36"/>
      <c r="G39" s="146" t="s">
        <v>22</v>
      </c>
      <c r="H39" s="159" t="n">
        <v>13</v>
      </c>
      <c r="I39" s="160" t="n">
        <v>11</v>
      </c>
      <c r="J39" s="160" t="n">
        <v>11</v>
      </c>
      <c r="K39" s="161" t="n">
        <v>18145.63</v>
      </c>
      <c r="L39" s="161" t="n">
        <f aca="false">M39+N39</f>
        <v>9138.09</v>
      </c>
      <c r="M39" s="161" t="n">
        <v>9138.09</v>
      </c>
      <c r="N39" s="190"/>
      <c r="O39" s="151" t="n">
        <v>10</v>
      </c>
      <c r="P39" s="149" t="n">
        <v>39637.95</v>
      </c>
      <c r="Q39" s="149" t="n">
        <f aca="false">R39+S39</f>
        <v>39637.95</v>
      </c>
      <c r="R39" s="149" t="n">
        <v>39637.95</v>
      </c>
      <c r="S39" s="198"/>
      <c r="T39" s="2"/>
      <c r="U39" s="70"/>
      <c r="V39" s="70"/>
      <c r="W39" s="70"/>
      <c r="X39" s="70"/>
      <c r="Y39" s="70"/>
      <c r="Z39" s="70"/>
      <c r="AA39" s="70"/>
      <c r="AB39" s="70"/>
      <c r="AC39" s="70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26" t="s">
        <v>165</v>
      </c>
      <c r="G40" s="152" t="s">
        <v>26</v>
      </c>
      <c r="H40" s="153" t="n">
        <v>3</v>
      </c>
      <c r="I40" s="154" t="n">
        <v>2</v>
      </c>
      <c r="J40" s="154" t="n">
        <v>2</v>
      </c>
      <c r="K40" s="155" t="n">
        <v>4933.6</v>
      </c>
      <c r="L40" s="155" t="n">
        <f aca="false">M40+N40</f>
        <v>4933.6</v>
      </c>
      <c r="M40" s="155"/>
      <c r="N40" s="156" t="n">
        <f aca="false">4933.6</f>
        <v>4933.6</v>
      </c>
      <c r="O40" s="157" t="n">
        <v>5</v>
      </c>
      <c r="P40" s="155" t="n">
        <v>13567.4</v>
      </c>
      <c r="Q40" s="155" t="n">
        <f aca="false">R40+S40</f>
        <v>14800.8</v>
      </c>
      <c r="R40" s="155" t="n">
        <f aca="false">53.85+11399.15</f>
        <v>11453</v>
      </c>
      <c r="S40" s="156" t="n">
        <f aca="false">3347.8</f>
        <v>3347.8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" hidden="false" customHeight="true" outlineLevel="0" collapsed="false">
      <c r="A41" s="33"/>
      <c r="B41" s="34" t="s">
        <v>46</v>
      </c>
      <c r="C41" s="35" t="s">
        <v>20</v>
      </c>
      <c r="D41" s="35"/>
      <c r="E41" s="35" t="s">
        <v>25</v>
      </c>
      <c r="F41" s="36"/>
      <c r="G41" s="146" t="s">
        <v>22</v>
      </c>
      <c r="H41" s="159" t="n">
        <v>12</v>
      </c>
      <c r="I41" s="160" t="n">
        <v>10</v>
      </c>
      <c r="J41" s="160" t="n">
        <v>12</v>
      </c>
      <c r="K41" s="161" t="n">
        <v>27872.38</v>
      </c>
      <c r="L41" s="161" t="n">
        <f aca="false">M41+N41</f>
        <v>27872.38</v>
      </c>
      <c r="M41" s="161" t="n">
        <v>19151.8</v>
      </c>
      <c r="N41" s="190" t="n">
        <v>8720.58</v>
      </c>
      <c r="O41" s="151" t="n">
        <v>15</v>
      </c>
      <c r="P41" s="149" t="n">
        <v>55419.47</v>
      </c>
      <c r="Q41" s="149" t="n">
        <f aca="false">R41+S41</f>
        <v>55419.47</v>
      </c>
      <c r="R41" s="149" t="n">
        <v>54101.49</v>
      </c>
      <c r="S41" s="198" t="n">
        <v>1317.98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164" t="s">
        <v>26</v>
      </c>
      <c r="H42" s="153"/>
      <c r="I42" s="165"/>
      <c r="J42" s="165"/>
      <c r="K42" s="166"/>
      <c r="L42" s="166" t="n">
        <f aca="false">M42+N42</f>
        <v>0</v>
      </c>
      <c r="M42" s="166"/>
      <c r="N42" s="156"/>
      <c r="O42" s="157"/>
      <c r="P42" s="155"/>
      <c r="Q42" s="155" t="n">
        <f aca="false">R42+S42</f>
        <v>0</v>
      </c>
      <c r="R42" s="155"/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.75" hidden="false" customHeight="true" outlineLevel="0" collapsed="false">
      <c r="A43" s="72"/>
      <c r="B43" s="73" t="s">
        <v>47</v>
      </c>
      <c r="C43" s="74" t="s">
        <v>20</v>
      </c>
      <c r="D43" s="74" t="s">
        <v>166</v>
      </c>
      <c r="E43" s="75" t="s">
        <v>25</v>
      </c>
      <c r="F43" s="22"/>
      <c r="G43" s="146" t="s">
        <v>22</v>
      </c>
      <c r="H43" s="159" t="n">
        <v>7</v>
      </c>
      <c r="I43" s="148" t="n">
        <v>5</v>
      </c>
      <c r="J43" s="148" t="n">
        <v>5</v>
      </c>
      <c r="K43" s="149" t="n">
        <v>2119.69</v>
      </c>
      <c r="L43" s="149" t="n">
        <f aca="false">M43+N43</f>
        <v>2119.69</v>
      </c>
      <c r="M43" s="149" t="n">
        <v>2119.69</v>
      </c>
      <c r="N43" s="190"/>
      <c r="O43" s="151"/>
      <c r="P43" s="149"/>
      <c r="Q43" s="149" t="n">
        <f aca="false">R43+S43</f>
        <v>0</v>
      </c>
      <c r="R43" s="149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72"/>
      <c r="B44" s="73"/>
      <c r="C44" s="73"/>
      <c r="D44" s="73"/>
      <c r="E44" s="75"/>
      <c r="F44" s="42" t="s">
        <v>167</v>
      </c>
      <c r="G44" s="164" t="s">
        <v>26</v>
      </c>
      <c r="H44" s="172" t="n">
        <v>5</v>
      </c>
      <c r="I44" s="165" t="n">
        <v>0</v>
      </c>
      <c r="J44" s="165" t="n">
        <v>0</v>
      </c>
      <c r="K44" s="166" t="n">
        <v>1057.2</v>
      </c>
      <c r="L44" s="166" t="n">
        <f aca="false">M44+N44</f>
        <v>0</v>
      </c>
      <c r="M44" s="166"/>
      <c r="N44" s="156"/>
      <c r="O44" s="168" t="n">
        <v>3</v>
      </c>
      <c r="P44" s="166" t="n">
        <v>13945.3</v>
      </c>
      <c r="Q44" s="166" t="n">
        <f aca="false">R44+S44</f>
        <v>10849.9</v>
      </c>
      <c r="R44" s="166" t="n">
        <f aca="false">10849.9</f>
        <v>10849.9</v>
      </c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17"/>
      <c r="B45" s="18" t="s">
        <v>48</v>
      </c>
      <c r="C45" s="19" t="s">
        <v>20</v>
      </c>
      <c r="D45" s="19" t="s">
        <v>168</v>
      </c>
      <c r="E45" s="19" t="s">
        <v>25</v>
      </c>
      <c r="F45" s="20"/>
      <c r="G45" s="146" t="s">
        <v>22</v>
      </c>
      <c r="H45" s="147" t="n">
        <v>2</v>
      </c>
      <c r="I45" s="148" t="n">
        <v>1</v>
      </c>
      <c r="J45" s="148" t="n">
        <v>1</v>
      </c>
      <c r="K45" s="149" t="n">
        <v>352.4</v>
      </c>
      <c r="L45" s="149" t="n">
        <f aca="false">M45+N45</f>
        <v>0</v>
      </c>
      <c r="M45" s="149"/>
      <c r="N45" s="190"/>
      <c r="O45" s="151" t="n">
        <v>4</v>
      </c>
      <c r="P45" s="149" t="n">
        <v>12699.01</v>
      </c>
      <c r="Q45" s="149" t="n">
        <f aca="false">R45+S45</f>
        <v>12699.01</v>
      </c>
      <c r="R45" s="149" t="n">
        <v>12699.01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17"/>
      <c r="B46" s="18"/>
      <c r="C46" s="18"/>
      <c r="D46" s="18"/>
      <c r="E46" s="18"/>
      <c r="F46" s="26" t="s">
        <v>169</v>
      </c>
      <c r="G46" s="152" t="s">
        <v>26</v>
      </c>
      <c r="H46" s="176" t="n">
        <v>4</v>
      </c>
      <c r="I46" s="154" t="n">
        <v>3</v>
      </c>
      <c r="J46" s="154" t="n">
        <v>3</v>
      </c>
      <c r="K46" s="155" t="n">
        <v>9056.68</v>
      </c>
      <c r="L46" s="155" t="n">
        <f aca="false">M46+N46</f>
        <v>1233.4</v>
      </c>
      <c r="M46" s="155" t="n">
        <v>0</v>
      </c>
      <c r="N46" s="156" t="n">
        <v>1233.4</v>
      </c>
      <c r="O46" s="157" t="n">
        <v>4</v>
      </c>
      <c r="P46" s="155" t="n">
        <v>11981.6</v>
      </c>
      <c r="Q46" s="155" t="n">
        <f aca="false">R46+S46</f>
        <v>13567.4</v>
      </c>
      <c r="R46" s="155" t="n">
        <f aca="false">528.6+11453</f>
        <v>11981.6</v>
      </c>
      <c r="S46" s="156" t="n">
        <v>1585.8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54"/>
      <c r="B47" s="55" t="s">
        <v>49</v>
      </c>
      <c r="C47" s="56" t="s">
        <v>20</v>
      </c>
      <c r="D47" s="78"/>
      <c r="E47" s="56" t="s">
        <v>50</v>
      </c>
      <c r="F47" s="36"/>
      <c r="G47" s="146" t="s">
        <v>22</v>
      </c>
      <c r="H47" s="169"/>
      <c r="I47" s="160"/>
      <c r="J47" s="160"/>
      <c r="K47" s="161"/>
      <c r="L47" s="161" t="n">
        <f aca="false">M47+N47</f>
        <v>0</v>
      </c>
      <c r="M47" s="161"/>
      <c r="N47" s="190"/>
      <c r="O47" s="163"/>
      <c r="P47" s="161"/>
      <c r="Q47" s="161" t="n">
        <f aca="false">R47+S47</f>
        <v>0</v>
      </c>
      <c r="R47" s="161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54"/>
      <c r="B48" s="55"/>
      <c r="C48" s="55"/>
      <c r="D48" s="55"/>
      <c r="E48" s="55"/>
      <c r="F48" s="57"/>
      <c r="G48" s="152" t="s">
        <v>26</v>
      </c>
      <c r="H48" s="153"/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33"/>
      <c r="B49" s="34" t="s">
        <v>51</v>
      </c>
      <c r="C49" s="35" t="s">
        <v>20</v>
      </c>
      <c r="D49" s="35"/>
      <c r="E49" s="35" t="s">
        <v>52</v>
      </c>
      <c r="F49" s="36"/>
      <c r="G49" s="146" t="s">
        <v>22</v>
      </c>
      <c r="H49" s="169" t="n">
        <v>6</v>
      </c>
      <c r="I49" s="160" t="n">
        <v>4</v>
      </c>
      <c r="J49" s="160" t="n">
        <v>5</v>
      </c>
      <c r="K49" s="161" t="n">
        <v>6674.45</v>
      </c>
      <c r="L49" s="161" t="n">
        <f aca="false">M49+N49</f>
        <v>5976.7</v>
      </c>
      <c r="M49" s="161"/>
      <c r="N49" s="190" t="n">
        <v>5976.7</v>
      </c>
      <c r="O49" s="151" t="n">
        <v>3</v>
      </c>
      <c r="P49" s="149" t="n">
        <v>9820.51</v>
      </c>
      <c r="Q49" s="149" t="n">
        <f aca="false">R49+S49</f>
        <v>9820.51</v>
      </c>
      <c r="R49" s="149" t="n">
        <v>5039.32</v>
      </c>
      <c r="S49" s="198" t="n">
        <v>4781.19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33"/>
      <c r="B50" s="34"/>
      <c r="C50" s="34"/>
      <c r="D50" s="34"/>
      <c r="E50" s="34"/>
      <c r="F50" s="71"/>
      <c r="G50" s="164" t="s">
        <v>26</v>
      </c>
      <c r="H50" s="175"/>
      <c r="I50" s="165"/>
      <c r="J50" s="165"/>
      <c r="K50" s="166"/>
      <c r="L50" s="166" t="n">
        <f aca="false">M50+N50</f>
        <v>0</v>
      </c>
      <c r="M50" s="166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17"/>
      <c r="B51" s="18" t="s">
        <v>154</v>
      </c>
      <c r="C51" s="19"/>
      <c r="D51" s="19" t="s">
        <v>170</v>
      </c>
      <c r="E51" s="19"/>
      <c r="F51" s="20"/>
      <c r="G51" s="146" t="s">
        <v>22</v>
      </c>
      <c r="H51" s="173" t="n">
        <v>48</v>
      </c>
      <c r="I51" s="148" t="n">
        <v>44</v>
      </c>
      <c r="J51" s="148" t="n">
        <v>44</v>
      </c>
      <c r="K51" s="149" t="n">
        <v>42153.56</v>
      </c>
      <c r="L51" s="149" t="n">
        <f aca="false">M51+N51</f>
        <v>39470.47</v>
      </c>
      <c r="M51" s="149" t="n">
        <v>34720.47</v>
      </c>
      <c r="N51" s="190" t="n">
        <v>4750</v>
      </c>
      <c r="O51" s="151"/>
      <c r="P51" s="149"/>
      <c r="Q51" s="149" t="n">
        <f aca="false">R51+S51</f>
        <v>0</v>
      </c>
      <c r="R51" s="149"/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26" t="s">
        <v>171</v>
      </c>
      <c r="G52" s="152" t="s">
        <v>26</v>
      </c>
      <c r="H52" s="174" t="n">
        <v>4</v>
      </c>
      <c r="I52" s="154" t="n">
        <v>1</v>
      </c>
      <c r="J52" s="154" t="n">
        <v>1</v>
      </c>
      <c r="K52" s="155" t="n">
        <v>1409.6</v>
      </c>
      <c r="L52" s="155" t="n">
        <f aca="false">M52+N52</f>
        <v>1409.6</v>
      </c>
      <c r="M52" s="155" t="n">
        <f aca="false">1409.6</f>
        <v>1409.6</v>
      </c>
      <c r="N52" s="156"/>
      <c r="O52" s="157"/>
      <c r="P52" s="155"/>
      <c r="Q52" s="155" t="n">
        <f aca="false">R52+S52</f>
        <v>0</v>
      </c>
      <c r="R52" s="155"/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54"/>
      <c r="B53" s="55" t="s">
        <v>53</v>
      </c>
      <c r="C53" s="56" t="s">
        <v>33</v>
      </c>
      <c r="D53" s="56" t="s">
        <v>54</v>
      </c>
      <c r="E53" s="56" t="s">
        <v>42</v>
      </c>
      <c r="F53" s="36"/>
      <c r="G53" s="158" t="s">
        <v>22</v>
      </c>
      <c r="H53" s="159" t="n">
        <v>20</v>
      </c>
      <c r="I53" s="160" t="n">
        <v>13</v>
      </c>
      <c r="J53" s="160" t="n">
        <v>17</v>
      </c>
      <c r="K53" s="161" t="n">
        <v>30660.61</v>
      </c>
      <c r="L53" s="161" t="n">
        <f aca="false">M53+N53</f>
        <v>22712.05</v>
      </c>
      <c r="M53" s="161" t="n">
        <v>11601.93</v>
      </c>
      <c r="N53" s="190" t="n">
        <v>11110.12</v>
      </c>
      <c r="O53" s="151" t="n">
        <v>21</v>
      </c>
      <c r="P53" s="149" t="n">
        <v>76522.71</v>
      </c>
      <c r="Q53" s="149" t="n">
        <f aca="false">R53+S53</f>
        <v>54609.33</v>
      </c>
      <c r="R53" s="149" t="n">
        <v>47845.54</v>
      </c>
      <c r="S53" s="198" t="n">
        <v>6763.79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54"/>
      <c r="B54" s="55"/>
      <c r="C54" s="55"/>
      <c r="D54" s="55"/>
      <c r="E54" s="55"/>
      <c r="F54" s="57"/>
      <c r="G54" s="152" t="s">
        <v>23</v>
      </c>
      <c r="H54" s="153"/>
      <c r="I54" s="154"/>
      <c r="J54" s="154"/>
      <c r="K54" s="155"/>
      <c r="L54" s="155" t="n">
        <f aca="false">M54+N54</f>
        <v>0</v>
      </c>
      <c r="M54" s="155"/>
      <c r="N54" s="156"/>
      <c r="O54" s="157"/>
      <c r="P54" s="155"/>
      <c r="Q54" s="155" t="n">
        <f aca="false">R54+S54</f>
        <v>0</v>
      </c>
      <c r="R54" s="155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33"/>
      <c r="B55" s="34" t="s">
        <v>55</v>
      </c>
      <c r="C55" s="35" t="s">
        <v>20</v>
      </c>
      <c r="D55" s="35"/>
      <c r="E55" s="35" t="s">
        <v>25</v>
      </c>
      <c r="F55" s="38"/>
      <c r="G55" s="146" t="s">
        <v>22</v>
      </c>
      <c r="H55" s="169" t="n">
        <v>3</v>
      </c>
      <c r="I55" s="160" t="n">
        <v>2</v>
      </c>
      <c r="J55" s="160" t="n">
        <v>2</v>
      </c>
      <c r="K55" s="161" t="n">
        <v>2563.71</v>
      </c>
      <c r="L55" s="161" t="n">
        <f aca="false">M55+N55</f>
        <v>0</v>
      </c>
      <c r="M55" s="161"/>
      <c r="N55" s="190"/>
      <c r="O55" s="163" t="n">
        <v>3</v>
      </c>
      <c r="P55" s="161" t="n">
        <v>18745.92</v>
      </c>
      <c r="Q55" s="161" t="n">
        <f aca="false">R55+S55</f>
        <v>18745.92</v>
      </c>
      <c r="R55" s="161" t="n">
        <v>18745.92</v>
      </c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33"/>
      <c r="B56" s="34"/>
      <c r="C56" s="34"/>
      <c r="D56" s="34"/>
      <c r="E56" s="34"/>
      <c r="F56" s="42" t="s">
        <v>172</v>
      </c>
      <c r="G56" s="164" t="s">
        <v>26</v>
      </c>
      <c r="H56" s="171" t="n">
        <v>3</v>
      </c>
      <c r="I56" s="165" t="n">
        <v>1</v>
      </c>
      <c r="J56" s="165" t="n">
        <v>1</v>
      </c>
      <c r="K56" s="166" t="n">
        <v>1057.2</v>
      </c>
      <c r="L56" s="161" t="n">
        <f aca="false">M56+N56</f>
        <v>1057.2</v>
      </c>
      <c r="M56" s="166" t="n">
        <v>0</v>
      </c>
      <c r="N56" s="156" t="n">
        <v>1057.2</v>
      </c>
      <c r="O56" s="168" t="n">
        <v>8</v>
      </c>
      <c r="P56" s="166" t="n">
        <v>14217.29</v>
      </c>
      <c r="Q56" s="161" t="n">
        <f aca="false">R56+S56</f>
        <v>18120.69</v>
      </c>
      <c r="R56" s="166" t="n">
        <f aca="false">1409.6+3672.29+13038.8</f>
        <v>18120.69</v>
      </c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.75" hidden="false" customHeight="true" outlineLevel="0" collapsed="false">
      <c r="A57" s="17"/>
      <c r="B57" s="18" t="s">
        <v>56</v>
      </c>
      <c r="C57" s="19" t="s">
        <v>33</v>
      </c>
      <c r="D57" s="19" t="s">
        <v>57</v>
      </c>
      <c r="E57" s="19" t="s">
        <v>25</v>
      </c>
      <c r="F57" s="20"/>
      <c r="G57" s="146" t="s">
        <v>22</v>
      </c>
      <c r="H57" s="159" t="n">
        <v>7</v>
      </c>
      <c r="I57" s="148"/>
      <c r="J57" s="148"/>
      <c r="K57" s="149"/>
      <c r="L57" s="149" t="n">
        <f aca="false">M57+N57</f>
        <v>0</v>
      </c>
      <c r="M57" s="149"/>
      <c r="N57" s="190"/>
      <c r="O57" s="151" t="n">
        <v>11</v>
      </c>
      <c r="P57" s="149" t="n">
        <v>43131.21</v>
      </c>
      <c r="Q57" s="149" t="n">
        <f aca="false">R57+S57</f>
        <v>43131.21</v>
      </c>
      <c r="R57" s="149" t="n">
        <v>43131.21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42"/>
      <c r="G58" s="164" t="s">
        <v>26</v>
      </c>
      <c r="H58" s="175" t="n">
        <v>3</v>
      </c>
      <c r="I58" s="165"/>
      <c r="J58" s="165"/>
      <c r="K58" s="166"/>
      <c r="L58" s="166" t="n">
        <f aca="false">M58+N58</f>
        <v>0</v>
      </c>
      <c r="M58" s="166"/>
      <c r="N58" s="156"/>
      <c r="O58" s="168" t="n">
        <v>5</v>
      </c>
      <c r="P58" s="166"/>
      <c r="Q58" s="166" t="n">
        <f aca="false">R58+S58</f>
        <v>4249</v>
      </c>
      <c r="R58" s="166"/>
      <c r="S58" s="156" t="n">
        <f aca="false">4249</f>
        <v>4249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266</v>
      </c>
      <c r="C59" s="19" t="s">
        <v>20</v>
      </c>
      <c r="D59" s="19"/>
      <c r="E59" s="19" t="s">
        <v>267</v>
      </c>
      <c r="F59" s="20"/>
      <c r="G59" s="146" t="s">
        <v>22</v>
      </c>
      <c r="H59" s="173" t="n">
        <v>2</v>
      </c>
      <c r="I59" s="148" t="n">
        <v>1</v>
      </c>
      <c r="J59" s="148" t="n">
        <v>1</v>
      </c>
      <c r="K59" s="149" t="n">
        <v>528.6</v>
      </c>
      <c r="L59" s="149" t="n">
        <f aca="false">M59+N59</f>
        <v>0</v>
      </c>
      <c r="M59" s="149"/>
      <c r="N59" s="190"/>
      <c r="O59" s="206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268</v>
      </c>
      <c r="G60" s="152" t="s">
        <v>26</v>
      </c>
      <c r="H60" s="174" t="n">
        <v>5</v>
      </c>
      <c r="I60" s="154" t="n">
        <v>3</v>
      </c>
      <c r="J60" s="154" t="n">
        <v>3</v>
      </c>
      <c r="K60" s="155" t="n">
        <v>5286</v>
      </c>
      <c r="L60" s="155" t="n">
        <f aca="false">M60+N60</f>
        <v>1233.4</v>
      </c>
      <c r="M60" s="155"/>
      <c r="N60" s="156" t="n">
        <f aca="false">1233.4</f>
        <v>1233.4</v>
      </c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54"/>
      <c r="B61" s="55" t="s">
        <v>155</v>
      </c>
      <c r="C61" s="56"/>
      <c r="D61" s="56"/>
      <c r="E61" s="56"/>
      <c r="F61" s="36"/>
      <c r="G61" s="158" t="s">
        <v>22</v>
      </c>
      <c r="H61" s="159" t="n">
        <v>13</v>
      </c>
      <c r="I61" s="160" t="n">
        <v>12</v>
      </c>
      <c r="J61" s="160" t="n">
        <v>13</v>
      </c>
      <c r="K61" s="161" t="n">
        <v>17764.48</v>
      </c>
      <c r="L61" s="161" t="n">
        <f aca="false">M61+N61</f>
        <v>13482.82</v>
      </c>
      <c r="M61" s="161" t="n">
        <v>13482.82</v>
      </c>
      <c r="N61" s="190"/>
      <c r="O61" s="163"/>
      <c r="P61" s="161"/>
      <c r="Q61" s="161" t="n">
        <f aca="false">R61+S61</f>
        <v>0</v>
      </c>
      <c r="R61" s="161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54"/>
      <c r="B62" s="55"/>
      <c r="C62" s="55"/>
      <c r="D62" s="55"/>
      <c r="E62" s="55"/>
      <c r="F62" s="71"/>
      <c r="G62" s="164" t="s">
        <v>26</v>
      </c>
      <c r="H62" s="177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221</v>
      </c>
      <c r="C63" s="19" t="s">
        <v>20</v>
      </c>
      <c r="D63" s="19"/>
      <c r="E63" s="19" t="s">
        <v>278</v>
      </c>
      <c r="F63" s="20"/>
      <c r="G63" s="146" t="s">
        <v>22</v>
      </c>
      <c r="H63" s="173" t="n">
        <v>8</v>
      </c>
      <c r="I63" s="148" t="n">
        <v>2</v>
      </c>
      <c r="J63" s="148" t="n">
        <v>2</v>
      </c>
      <c r="K63" s="149" t="n">
        <v>5127.42</v>
      </c>
      <c r="L63" s="149" t="n">
        <f aca="false">M63+N63</f>
        <v>3717.82</v>
      </c>
      <c r="M63" s="149" t="n">
        <v>3717.82</v>
      </c>
      <c r="N63" s="190"/>
      <c r="O63" s="151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233</v>
      </c>
      <c r="G64" s="152" t="s">
        <v>23</v>
      </c>
      <c r="H64" s="174" t="n">
        <v>7</v>
      </c>
      <c r="I64" s="154" t="n">
        <v>5</v>
      </c>
      <c r="J64" s="154" t="n">
        <v>5</v>
      </c>
      <c r="K64" s="155" t="n">
        <v>4052.6</v>
      </c>
      <c r="L64" s="155" t="n">
        <f aca="false">M64+N64</f>
        <v>704.8</v>
      </c>
      <c r="M64" s="155" t="n">
        <v>704.8</v>
      </c>
      <c r="N64" s="156"/>
      <c r="O64" s="157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33"/>
      <c r="B65" s="34" t="s">
        <v>58</v>
      </c>
      <c r="C65" s="35" t="s">
        <v>20</v>
      </c>
      <c r="D65" s="35"/>
      <c r="E65" s="35" t="s">
        <v>52</v>
      </c>
      <c r="F65" s="36"/>
      <c r="G65" s="158" t="s">
        <v>22</v>
      </c>
      <c r="H65" s="159" t="n">
        <v>11</v>
      </c>
      <c r="I65" s="160" t="n">
        <v>6</v>
      </c>
      <c r="J65" s="160" t="n">
        <v>10</v>
      </c>
      <c r="K65" s="161" t="n">
        <v>16500.69</v>
      </c>
      <c r="L65" s="161" t="n">
        <f aca="false">M65+N65</f>
        <v>16500.69</v>
      </c>
      <c r="M65" s="161" t="n">
        <v>16500.69</v>
      </c>
      <c r="N65" s="190"/>
      <c r="O65" s="163" t="n">
        <v>10</v>
      </c>
      <c r="P65" s="161" t="n">
        <v>62059.28</v>
      </c>
      <c r="Q65" s="161" t="n">
        <f aca="false">R65+S65</f>
        <v>62059.28</v>
      </c>
      <c r="R65" s="161" t="n">
        <v>62059.28</v>
      </c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71"/>
      <c r="G66" s="164" t="s">
        <v>26</v>
      </c>
      <c r="H66" s="175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269</v>
      </c>
      <c r="C67" s="19"/>
      <c r="D67" s="49"/>
      <c r="E67" s="19"/>
      <c r="F67" s="22"/>
      <c r="G67" s="146" t="s">
        <v>22</v>
      </c>
      <c r="H67" s="147" t="n">
        <v>8</v>
      </c>
      <c r="I67" s="148" t="n">
        <v>5</v>
      </c>
      <c r="J67" s="148" t="n">
        <v>5</v>
      </c>
      <c r="K67" s="149" t="n">
        <v>14798.19</v>
      </c>
      <c r="L67" s="149" t="n">
        <f aca="false">M67+N67</f>
        <v>14798.19</v>
      </c>
      <c r="M67" s="149"/>
      <c r="N67" s="190" t="n">
        <v>14798.19</v>
      </c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/>
      <c r="G68" s="152" t="s">
        <v>26</v>
      </c>
      <c r="H68" s="176"/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54"/>
      <c r="B69" s="55" t="s">
        <v>222</v>
      </c>
      <c r="C69" s="56" t="s">
        <v>20</v>
      </c>
      <c r="D69" s="78"/>
      <c r="E69" s="56" t="s">
        <v>279</v>
      </c>
      <c r="F69" s="38"/>
      <c r="G69" s="158" t="s">
        <v>22</v>
      </c>
      <c r="H69" s="169" t="n">
        <v>21</v>
      </c>
      <c r="I69" s="160" t="n">
        <v>3</v>
      </c>
      <c r="J69" s="160" t="n">
        <v>3</v>
      </c>
      <c r="K69" s="161" t="n">
        <v>10353.95</v>
      </c>
      <c r="L69" s="161" t="n">
        <f aca="false">M69+N69</f>
        <v>3383.04</v>
      </c>
      <c r="M69" s="161" t="n">
        <v>3383.04</v>
      </c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54"/>
      <c r="B70" s="55"/>
      <c r="C70" s="55"/>
      <c r="D70" s="55"/>
      <c r="E70" s="55"/>
      <c r="F70" s="42" t="s">
        <v>234</v>
      </c>
      <c r="G70" s="164" t="s">
        <v>23</v>
      </c>
      <c r="H70" s="178" t="n">
        <v>3</v>
      </c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249</v>
      </c>
      <c r="C71" s="19"/>
      <c r="D71" s="49"/>
      <c r="E71" s="19"/>
      <c r="F71" s="22"/>
      <c r="G71" s="146" t="s">
        <v>22</v>
      </c>
      <c r="H71" s="147"/>
      <c r="I71" s="148"/>
      <c r="J71" s="148"/>
      <c r="K71" s="149"/>
      <c r="L71" s="149" t="n">
        <f aca="false">M71+N71</f>
        <v>0</v>
      </c>
      <c r="M71" s="149"/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50" t="s">
        <v>250</v>
      </c>
      <c r="G72" s="152" t="s">
        <v>26</v>
      </c>
      <c r="H72" s="176" t="n">
        <v>4</v>
      </c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33"/>
      <c r="B73" s="34" t="s">
        <v>59</v>
      </c>
      <c r="C73" s="35" t="s">
        <v>20</v>
      </c>
      <c r="D73" s="95"/>
      <c r="E73" s="35" t="s">
        <v>25</v>
      </c>
      <c r="F73" s="38"/>
      <c r="G73" s="158" t="s">
        <v>22</v>
      </c>
      <c r="H73" s="169"/>
      <c r="I73" s="160"/>
      <c r="J73" s="160"/>
      <c r="K73" s="161"/>
      <c r="L73" s="161" t="n">
        <f aca="false">M73+N73</f>
        <v>0</v>
      </c>
      <c r="M73" s="161"/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33"/>
      <c r="B74" s="34"/>
      <c r="C74" s="34"/>
      <c r="D74" s="34"/>
      <c r="E74" s="34"/>
      <c r="F74" s="71"/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60</v>
      </c>
      <c r="C75" s="19" t="s">
        <v>20</v>
      </c>
      <c r="D75" s="19"/>
      <c r="E75" s="19" t="s">
        <v>21</v>
      </c>
      <c r="F75" s="22"/>
      <c r="G75" s="146" t="s">
        <v>22</v>
      </c>
      <c r="H75" s="169" t="n">
        <v>4</v>
      </c>
      <c r="I75" s="148" t="n">
        <v>1</v>
      </c>
      <c r="J75" s="148" t="n">
        <v>1</v>
      </c>
      <c r="K75" s="149" t="n">
        <v>1046.63</v>
      </c>
      <c r="L75" s="149" t="n">
        <f aca="false">M75+N75</f>
        <v>1046.63</v>
      </c>
      <c r="M75" s="149"/>
      <c r="N75" s="190" t="n">
        <v>1046.63</v>
      </c>
      <c r="O75" s="151" t="n">
        <v>2</v>
      </c>
      <c r="P75" s="149" t="n">
        <v>3855.96</v>
      </c>
      <c r="Q75" s="149" t="n">
        <f aca="false">R75+S75</f>
        <v>3855.96</v>
      </c>
      <c r="R75" s="149" t="n">
        <v>881</v>
      </c>
      <c r="S75" s="190" t="n">
        <v>2974.96</v>
      </c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71"/>
      <c r="G76" s="164" t="s">
        <v>23</v>
      </c>
      <c r="H76" s="175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17"/>
      <c r="B77" s="18" t="s">
        <v>223</v>
      </c>
      <c r="C77" s="19" t="s">
        <v>33</v>
      </c>
      <c r="D77" s="19" t="s">
        <v>280</v>
      </c>
      <c r="E77" s="19" t="s">
        <v>259</v>
      </c>
      <c r="F77" s="20"/>
      <c r="G77" s="146" t="s">
        <v>22</v>
      </c>
      <c r="H77" s="173" t="n">
        <v>11</v>
      </c>
      <c r="I77" s="148" t="n">
        <v>4</v>
      </c>
      <c r="J77" s="148" t="n">
        <v>4</v>
      </c>
      <c r="K77" s="149" t="n">
        <v>24532.79</v>
      </c>
      <c r="L77" s="149" t="n">
        <f aca="false">M77+N77</f>
        <v>5039.32</v>
      </c>
      <c r="M77" s="149" t="n">
        <v>5039.32</v>
      </c>
      <c r="N77" s="190"/>
      <c r="O77" s="151"/>
      <c r="P77" s="149"/>
      <c r="Q77" s="149" t="n">
        <f aca="false">R77+S77</f>
        <v>0</v>
      </c>
      <c r="R77" s="149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26" t="s">
        <v>235</v>
      </c>
      <c r="G78" s="152" t="s">
        <v>23</v>
      </c>
      <c r="H78" s="174" t="n">
        <v>23</v>
      </c>
      <c r="I78" s="154" t="n">
        <v>13</v>
      </c>
      <c r="J78" s="154" t="n">
        <v>13</v>
      </c>
      <c r="K78" s="155" t="n">
        <v>15828.92</v>
      </c>
      <c r="L78" s="155" t="n">
        <v>7075.6</v>
      </c>
      <c r="M78" s="155" t="n">
        <v>7075.6</v>
      </c>
      <c r="N78" s="156"/>
      <c r="O78" s="157"/>
      <c r="P78" s="155"/>
      <c r="Q78" s="155" t="n">
        <f aca="false">R78+S78</f>
        <v>0</v>
      </c>
      <c r="R78" s="155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33"/>
      <c r="B79" s="34" t="s">
        <v>61</v>
      </c>
      <c r="C79" s="35" t="s">
        <v>33</v>
      </c>
      <c r="D79" s="56" t="s">
        <v>62</v>
      </c>
      <c r="E79" s="35" t="s">
        <v>25</v>
      </c>
      <c r="F79" s="36"/>
      <c r="G79" s="158" t="s">
        <v>22</v>
      </c>
      <c r="H79" s="159" t="n">
        <v>4</v>
      </c>
      <c r="I79" s="160" t="n">
        <v>3</v>
      </c>
      <c r="J79" s="160" t="n">
        <v>3</v>
      </c>
      <c r="K79" s="161" t="n">
        <v>4510.72</v>
      </c>
      <c r="L79" s="161" t="n">
        <f aca="false">M79+N79</f>
        <v>4510.72</v>
      </c>
      <c r="M79" s="161" t="n">
        <v>4510.72</v>
      </c>
      <c r="N79" s="190"/>
      <c r="O79" s="163" t="n">
        <v>1</v>
      </c>
      <c r="P79" s="161" t="n">
        <v>5123.54</v>
      </c>
      <c r="Q79" s="161" t="n">
        <f aca="false">R79+S79</f>
        <v>5123.54</v>
      </c>
      <c r="R79" s="161" t="n">
        <v>5123.54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33"/>
      <c r="B80" s="34"/>
      <c r="C80" s="34"/>
      <c r="D80" s="56"/>
      <c r="E80" s="35"/>
      <c r="F80" s="42" t="s">
        <v>173</v>
      </c>
      <c r="G80" s="164" t="s">
        <v>26</v>
      </c>
      <c r="H80" s="153" t="n">
        <v>4</v>
      </c>
      <c r="I80" s="165" t="n">
        <v>3</v>
      </c>
      <c r="J80" s="165" t="n">
        <v>3</v>
      </c>
      <c r="K80" s="166" t="n">
        <v>2643</v>
      </c>
      <c r="L80" s="166" t="n">
        <f aca="false">M80+N80</f>
        <v>2643</v>
      </c>
      <c r="M80" s="166" t="n">
        <f aca="false">704.8</f>
        <v>704.8</v>
      </c>
      <c r="N80" s="156" t="n">
        <v>1938.2</v>
      </c>
      <c r="O80" s="168" t="n">
        <v>2</v>
      </c>
      <c r="P80" s="166" t="n">
        <v>3171.6</v>
      </c>
      <c r="Q80" s="166" t="n">
        <f aca="false">R80+S80</f>
        <v>2907.3</v>
      </c>
      <c r="R80" s="166" t="n">
        <f aca="false">2907.3</f>
        <v>2907.3</v>
      </c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72"/>
      <c r="B81" s="73" t="s">
        <v>63</v>
      </c>
      <c r="C81" s="74" t="s">
        <v>20</v>
      </c>
      <c r="D81" s="74"/>
      <c r="E81" s="74" t="s">
        <v>25</v>
      </c>
      <c r="F81" s="20"/>
      <c r="G81" s="146" t="s">
        <v>22</v>
      </c>
      <c r="H81" s="169" t="n">
        <v>6</v>
      </c>
      <c r="I81" s="148" t="n">
        <v>3</v>
      </c>
      <c r="J81" s="148" t="n">
        <v>4</v>
      </c>
      <c r="K81" s="149" t="n">
        <v>5720.34</v>
      </c>
      <c r="L81" s="149" t="n">
        <f aca="false">M81+N81</f>
        <v>1162.92</v>
      </c>
      <c r="M81" s="149" t="n">
        <v>1162.92</v>
      </c>
      <c r="N81" s="190"/>
      <c r="O81" s="151" t="n">
        <v>9</v>
      </c>
      <c r="P81" s="149" t="n">
        <v>28668.15</v>
      </c>
      <c r="Q81" s="149" t="n">
        <f aca="false">R81+S81</f>
        <v>28069.07</v>
      </c>
      <c r="R81" s="149" t="n">
        <v>28069.07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72"/>
      <c r="B82" s="73"/>
      <c r="C82" s="73"/>
      <c r="D82" s="73"/>
      <c r="E82" s="73"/>
      <c r="F82" s="42" t="s">
        <v>174</v>
      </c>
      <c r="G82" s="164" t="s">
        <v>26</v>
      </c>
      <c r="H82" s="153" t="n">
        <v>3</v>
      </c>
      <c r="I82" s="165"/>
      <c r="J82" s="165"/>
      <c r="K82" s="166"/>
      <c r="L82" s="166" t="n">
        <f aca="false">M82+N82</f>
        <v>0</v>
      </c>
      <c r="M82" s="166"/>
      <c r="N82" s="156"/>
      <c r="O82" s="168"/>
      <c r="P82" s="166"/>
      <c r="Q82" s="166" t="n">
        <f aca="false">R82+S82</f>
        <v>0</v>
      </c>
      <c r="R82" s="166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72"/>
      <c r="B83" s="73" t="s">
        <v>64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1</v>
      </c>
      <c r="I83" s="148"/>
      <c r="J83" s="148"/>
      <c r="K83" s="149"/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71"/>
      <c r="G84" s="164" t="s">
        <v>26</v>
      </c>
      <c r="H84" s="153"/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17"/>
      <c r="B85" s="18" t="s">
        <v>65</v>
      </c>
      <c r="C85" s="19" t="s">
        <v>33</v>
      </c>
      <c r="D85" s="19" t="s">
        <v>66</v>
      </c>
      <c r="E85" s="19" t="s">
        <v>67</v>
      </c>
      <c r="F85" s="20"/>
      <c r="G85" s="146" t="s">
        <v>22</v>
      </c>
      <c r="H85" s="159" t="n">
        <v>8</v>
      </c>
      <c r="I85" s="148" t="n">
        <v>6</v>
      </c>
      <c r="J85" s="148" t="n">
        <v>7</v>
      </c>
      <c r="K85" s="149" t="n">
        <v>8722.99</v>
      </c>
      <c r="L85" s="149" t="n">
        <f aca="false">M85+N85</f>
        <v>5752.93</v>
      </c>
      <c r="M85" s="149" t="n">
        <v>3057.07</v>
      </c>
      <c r="N85" s="190" t="n">
        <v>2695.86</v>
      </c>
      <c r="O85" s="151" t="n">
        <v>10</v>
      </c>
      <c r="P85" s="149" t="n">
        <v>43656.97</v>
      </c>
      <c r="Q85" s="149" t="n">
        <f aca="false">R85+S85</f>
        <v>43656.97</v>
      </c>
      <c r="R85" s="149" t="n">
        <v>14207.76</v>
      </c>
      <c r="S85" s="190" t="n">
        <v>29449.21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42" t="s">
        <v>236</v>
      </c>
      <c r="G86" s="164" t="s">
        <v>23</v>
      </c>
      <c r="H86" s="172" t="n">
        <v>34</v>
      </c>
      <c r="I86" s="165" t="n">
        <v>26</v>
      </c>
      <c r="J86" s="165" t="n">
        <v>26</v>
      </c>
      <c r="K86" s="166" t="n">
        <v>29277.8</v>
      </c>
      <c r="L86" s="166" t="n">
        <v>3524</v>
      </c>
      <c r="M86" s="166" t="n">
        <v>3524</v>
      </c>
      <c r="N86" s="156" t="n">
        <v>4052.6</v>
      </c>
      <c r="O86" s="168" t="n">
        <v>34</v>
      </c>
      <c r="P86" s="166" t="n">
        <v>70390.42</v>
      </c>
      <c r="Q86" s="166" t="n">
        <v>30232.1</v>
      </c>
      <c r="R86" s="166" t="n">
        <v>30232.1</v>
      </c>
      <c r="S86" s="156" t="n">
        <v>9162.4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175</v>
      </c>
      <c r="C87" s="19"/>
      <c r="D87" s="19"/>
      <c r="E87" s="19"/>
      <c r="F87" s="137"/>
      <c r="G87" s="146" t="s">
        <v>22</v>
      </c>
      <c r="H87" s="147" t="n">
        <v>6</v>
      </c>
      <c r="I87" s="148" t="n">
        <v>2</v>
      </c>
      <c r="J87" s="148" t="n">
        <v>3</v>
      </c>
      <c r="K87" s="149" t="n">
        <v>5340.62</v>
      </c>
      <c r="L87" s="149" t="n">
        <f aca="false">M87+N87</f>
        <v>2035.11</v>
      </c>
      <c r="M87" s="149" t="n">
        <v>2035.11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" hidden="false" customHeight="false" outlineLevel="0" collapsed="false">
      <c r="A88" s="17"/>
      <c r="B88" s="18"/>
      <c r="C88" s="18"/>
      <c r="D88" s="18"/>
      <c r="E88" s="18"/>
      <c r="F88" s="89"/>
      <c r="G88" s="164" t="s">
        <v>26</v>
      </c>
      <c r="H88" s="178" t="n">
        <v>6</v>
      </c>
      <c r="I88" s="165" t="n">
        <v>4</v>
      </c>
      <c r="J88" s="165" t="n">
        <v>4</v>
      </c>
      <c r="K88" s="166" t="n">
        <v>7576.6</v>
      </c>
      <c r="L88" s="166" t="n">
        <f aca="false">M88+N88</f>
        <v>6343.2</v>
      </c>
      <c r="M88" s="166" t="n">
        <f aca="false">2290.6</f>
        <v>2290.6</v>
      </c>
      <c r="N88" s="156" t="n">
        <f aca="false">4052.6</f>
        <v>4052.6</v>
      </c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68</v>
      </c>
      <c r="C89" s="19" t="s">
        <v>20</v>
      </c>
      <c r="D89" s="19"/>
      <c r="E89" s="19" t="s">
        <v>69</v>
      </c>
      <c r="F89" s="22"/>
      <c r="G89" s="146" t="s">
        <v>22</v>
      </c>
      <c r="H89" s="147" t="n">
        <v>6</v>
      </c>
      <c r="I89" s="148" t="n">
        <v>3</v>
      </c>
      <c r="J89" s="148" t="n">
        <v>3</v>
      </c>
      <c r="K89" s="149" t="n">
        <v>4786.75</v>
      </c>
      <c r="L89" s="149" t="n">
        <f aca="false">M89+N89</f>
        <v>4786.75</v>
      </c>
      <c r="M89" s="149" t="n">
        <v>4105.29</v>
      </c>
      <c r="N89" s="190" t="n">
        <v>681.46</v>
      </c>
      <c r="O89" s="151" t="n">
        <v>15</v>
      </c>
      <c r="P89" s="149" t="n">
        <v>48957.86</v>
      </c>
      <c r="Q89" s="149" t="n">
        <f aca="false">R89+S89</f>
        <v>46890.62</v>
      </c>
      <c r="R89" s="149" t="n">
        <v>21614.18</v>
      </c>
      <c r="S89" s="190" t="n">
        <v>25276.44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26" t="s">
        <v>176</v>
      </c>
      <c r="G90" s="152" t="s">
        <v>26</v>
      </c>
      <c r="H90" s="153" t="n">
        <v>8</v>
      </c>
      <c r="I90" s="154" t="n">
        <v>3</v>
      </c>
      <c r="J90" s="154" t="n">
        <v>3</v>
      </c>
      <c r="K90" s="235" t="n">
        <v>5995.52</v>
      </c>
      <c r="L90" s="155" t="n">
        <f aca="false">M90+N90</f>
        <v>2819.2</v>
      </c>
      <c r="M90" s="155" t="n">
        <f aca="false">2819.2</f>
        <v>2819.2</v>
      </c>
      <c r="N90" s="156"/>
      <c r="O90" s="157"/>
      <c r="P90" s="155" t="n">
        <v>5462.2</v>
      </c>
      <c r="Q90" s="155" t="n">
        <f aca="false">R90+S90</f>
        <v>4405</v>
      </c>
      <c r="R90" s="155" t="n">
        <f aca="false">4405</f>
        <v>4405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.75" hidden="false" customHeight="true" outlineLevel="0" collapsed="false">
      <c r="A91" s="54"/>
      <c r="B91" s="55" t="s">
        <v>70</v>
      </c>
      <c r="C91" s="56" t="s">
        <v>20</v>
      </c>
      <c r="D91" s="56" t="s">
        <v>71</v>
      </c>
      <c r="E91" s="56" t="s">
        <v>25</v>
      </c>
      <c r="F91" s="36"/>
      <c r="G91" s="158" t="s">
        <v>22</v>
      </c>
      <c r="H91" s="169" t="n">
        <v>1</v>
      </c>
      <c r="I91" s="160"/>
      <c r="J91" s="160"/>
      <c r="K91" s="161"/>
      <c r="L91" s="161" t="n">
        <f aca="false">M91+N91</f>
        <v>0</v>
      </c>
      <c r="M91" s="161"/>
      <c r="N91" s="190"/>
      <c r="O91" s="163" t="n">
        <v>4</v>
      </c>
      <c r="P91" s="161" t="n">
        <v>27231.45</v>
      </c>
      <c r="Q91" s="161" t="n">
        <f aca="false">R91+S91</f>
        <v>7836.01</v>
      </c>
      <c r="R91" s="161" t="n">
        <v>7836.01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54"/>
      <c r="B92" s="55"/>
      <c r="C92" s="55"/>
      <c r="D92" s="55"/>
      <c r="E92" s="55"/>
      <c r="F92" s="26" t="s">
        <v>177</v>
      </c>
      <c r="G92" s="152" t="s">
        <v>26</v>
      </c>
      <c r="H92" s="153" t="n">
        <v>7</v>
      </c>
      <c r="I92" s="154" t="n">
        <v>1</v>
      </c>
      <c r="J92" s="154" t="n">
        <v>1</v>
      </c>
      <c r="K92" s="155" t="n">
        <v>1409.6</v>
      </c>
      <c r="L92" s="155" t="n">
        <f aca="false">M92+N92</f>
        <v>1409.6</v>
      </c>
      <c r="M92" s="155"/>
      <c r="N92" s="156" t="n">
        <f aca="false">1409.6</f>
        <v>1409.6</v>
      </c>
      <c r="O92" s="157"/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33"/>
      <c r="B93" s="34" t="s">
        <v>72</v>
      </c>
      <c r="C93" s="35" t="s">
        <v>20</v>
      </c>
      <c r="D93" s="35"/>
      <c r="E93" s="35" t="s">
        <v>52</v>
      </c>
      <c r="F93" s="36"/>
      <c r="G93" s="146" t="s">
        <v>22</v>
      </c>
      <c r="H93" s="159" t="n">
        <v>5</v>
      </c>
      <c r="I93" s="160" t="n">
        <v>4</v>
      </c>
      <c r="J93" s="160" t="n">
        <v>4</v>
      </c>
      <c r="K93" s="161" t="n">
        <v>6532.71</v>
      </c>
      <c r="L93" s="161" t="n">
        <f aca="false">M93+N93</f>
        <v>5486.08</v>
      </c>
      <c r="M93" s="161" t="n">
        <v>5486.08</v>
      </c>
      <c r="N93" s="190"/>
      <c r="O93" s="163" t="n">
        <v>6</v>
      </c>
      <c r="P93" s="161" t="n">
        <v>44299.53</v>
      </c>
      <c r="Q93" s="161" t="n">
        <f aca="false">R93+S93</f>
        <v>44299.53</v>
      </c>
      <c r="R93" s="161" t="n">
        <v>44299.53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178</v>
      </c>
      <c r="G94" s="164" t="s">
        <v>26</v>
      </c>
      <c r="H94" s="171" t="n">
        <v>5</v>
      </c>
      <c r="I94" s="165" t="n">
        <v>2</v>
      </c>
      <c r="J94" s="165" t="n">
        <v>2</v>
      </c>
      <c r="K94" s="166" t="n">
        <v>1938.2</v>
      </c>
      <c r="L94" s="161" t="n">
        <f aca="false">M94+N94</f>
        <v>4052.6</v>
      </c>
      <c r="M94" s="166" t="n">
        <v>4052.6</v>
      </c>
      <c r="N94" s="156"/>
      <c r="O94" s="168" t="n">
        <v>3</v>
      </c>
      <c r="P94" s="166" t="n">
        <v>11108.48</v>
      </c>
      <c r="Q94" s="166" t="n">
        <f aca="false">R94+S94</f>
        <v>11989.48</v>
      </c>
      <c r="R94" s="166" t="n">
        <f aca="false">3347.8+8641.68</f>
        <v>11989.48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17"/>
      <c r="B95" s="18" t="s">
        <v>73</v>
      </c>
      <c r="C95" s="19" t="s">
        <v>20</v>
      </c>
      <c r="D95" s="19"/>
      <c r="E95" s="19" t="s">
        <v>52</v>
      </c>
      <c r="F95" s="20"/>
      <c r="G95" s="146" t="s">
        <v>22</v>
      </c>
      <c r="H95" s="159" t="n">
        <v>4</v>
      </c>
      <c r="I95" s="148" t="n">
        <v>2</v>
      </c>
      <c r="J95" s="148" t="n">
        <v>2</v>
      </c>
      <c r="K95" s="149" t="n">
        <v>2277.26</v>
      </c>
      <c r="L95" s="149" t="n">
        <f aca="false">M95+N95</f>
        <v>2277.26</v>
      </c>
      <c r="M95" s="149" t="n">
        <v>2277.26</v>
      </c>
      <c r="N95" s="190"/>
      <c r="O95" s="151" t="n">
        <v>4</v>
      </c>
      <c r="P95" s="149" t="n">
        <v>11448.19</v>
      </c>
      <c r="Q95" s="149" t="n">
        <f aca="false">R95+S95</f>
        <v>10069.05</v>
      </c>
      <c r="R95" s="149" t="n">
        <v>10069.05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17"/>
      <c r="B96" s="18"/>
      <c r="C96" s="18"/>
      <c r="D96" s="18"/>
      <c r="E96" s="18"/>
      <c r="F96" s="26" t="s">
        <v>179</v>
      </c>
      <c r="G96" s="152" t="s">
        <v>26</v>
      </c>
      <c r="H96" s="153" t="n">
        <v>6</v>
      </c>
      <c r="I96" s="154" t="n">
        <v>3</v>
      </c>
      <c r="J96" s="154" t="n">
        <v>3</v>
      </c>
      <c r="K96" s="155" t="n">
        <v>8454.6</v>
      </c>
      <c r="L96" s="155" t="n">
        <f aca="false">M96+N96</f>
        <v>12686.4</v>
      </c>
      <c r="M96" s="155" t="n">
        <v>5109.8</v>
      </c>
      <c r="N96" s="156" t="n">
        <f aca="false">4052.6+3524</f>
        <v>7576.6</v>
      </c>
      <c r="O96" s="157" t="n">
        <v>2</v>
      </c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33"/>
      <c r="B97" s="34" t="s">
        <v>74</v>
      </c>
      <c r="C97" s="35" t="s">
        <v>33</v>
      </c>
      <c r="D97" s="35" t="s">
        <v>75</v>
      </c>
      <c r="E97" s="35" t="s">
        <v>25</v>
      </c>
      <c r="F97" s="36"/>
      <c r="G97" s="146" t="s">
        <v>22</v>
      </c>
      <c r="H97" s="159" t="n">
        <v>26</v>
      </c>
      <c r="I97" s="160" t="n">
        <v>18</v>
      </c>
      <c r="J97" s="160" t="n">
        <v>18</v>
      </c>
      <c r="K97" s="161" t="n">
        <v>29309.44</v>
      </c>
      <c r="L97" s="161" t="n">
        <f aca="false">M97+N97</f>
        <v>22267.64</v>
      </c>
      <c r="M97" s="161" t="n">
        <v>11782.59</v>
      </c>
      <c r="N97" s="190" t="n">
        <v>10485.05</v>
      </c>
      <c r="O97" s="163" t="n">
        <v>23</v>
      </c>
      <c r="P97" s="161" t="n">
        <v>58007.41</v>
      </c>
      <c r="Q97" s="161" t="n">
        <f aca="false">R97+S97</f>
        <v>57478.81</v>
      </c>
      <c r="R97" s="161" t="n">
        <v>42638.01</v>
      </c>
      <c r="S97" s="190" t="n">
        <v>14840.8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270</v>
      </c>
      <c r="G98" s="164" t="s">
        <v>26</v>
      </c>
      <c r="H98" s="153"/>
      <c r="I98" s="165"/>
      <c r="J98" s="165"/>
      <c r="K98" s="166"/>
      <c r="L98" s="166" t="n">
        <f aca="false">M98+N98</f>
        <v>0</v>
      </c>
      <c r="M98" s="166"/>
      <c r="N98" s="156"/>
      <c r="O98" s="168" t="n">
        <v>6</v>
      </c>
      <c r="P98" s="166" t="n">
        <v>15858</v>
      </c>
      <c r="Q98" s="166" t="n">
        <f aca="false">R98+S98</f>
        <v>23170.3</v>
      </c>
      <c r="R98" s="166" t="n">
        <v>21936.9</v>
      </c>
      <c r="S98" s="156" t="n">
        <v>1233.4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72"/>
      <c r="B99" s="73" t="s">
        <v>76</v>
      </c>
      <c r="C99" s="74" t="s">
        <v>20</v>
      </c>
      <c r="D99" s="74" t="s">
        <v>180</v>
      </c>
      <c r="E99" s="74" t="s">
        <v>25</v>
      </c>
      <c r="F99" s="20"/>
      <c r="G99" s="146" t="s">
        <v>22</v>
      </c>
      <c r="H99" s="159" t="n">
        <v>16</v>
      </c>
      <c r="I99" s="148" t="n">
        <v>14</v>
      </c>
      <c r="J99" s="148" t="n">
        <v>14</v>
      </c>
      <c r="K99" s="149" t="n">
        <v>12101.16</v>
      </c>
      <c r="L99" s="149" t="n">
        <f aca="false">M99+N99</f>
        <v>11302.98</v>
      </c>
      <c r="M99" s="149" t="n">
        <v>5035.24</v>
      </c>
      <c r="N99" s="190" t="n">
        <v>6267.74</v>
      </c>
      <c r="O99" s="151" t="n">
        <v>2</v>
      </c>
      <c r="P99" s="149" t="n">
        <v>12380.09</v>
      </c>
      <c r="Q99" s="149" t="n">
        <f aca="false">R99+S99</f>
        <v>12380.09</v>
      </c>
      <c r="R99" s="149" t="n">
        <v>12380.09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 t="s">
        <v>181</v>
      </c>
      <c r="G100" s="164" t="s">
        <v>26</v>
      </c>
      <c r="H100" s="171" t="n">
        <v>7</v>
      </c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8457.6</v>
      </c>
      <c r="Q100" s="166" t="n">
        <f aca="false">R100+S100</f>
        <v>7488.5</v>
      </c>
      <c r="R100" s="165" t="n">
        <v>6431.3</v>
      </c>
      <c r="S100" s="156" t="n">
        <v>1057.2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17"/>
      <c r="B101" s="18" t="s">
        <v>77</v>
      </c>
      <c r="C101" s="19" t="s">
        <v>38</v>
      </c>
      <c r="D101" s="19" t="s">
        <v>78</v>
      </c>
      <c r="E101" s="19" t="s">
        <v>25</v>
      </c>
      <c r="F101" s="22"/>
      <c r="G101" s="146" t="s">
        <v>22</v>
      </c>
      <c r="H101" s="169" t="n">
        <v>9</v>
      </c>
      <c r="I101" s="148" t="n">
        <v>8</v>
      </c>
      <c r="J101" s="148" t="n">
        <v>9</v>
      </c>
      <c r="K101" s="149" t="n">
        <v>7482.33</v>
      </c>
      <c r="L101" s="149" t="n">
        <f aca="false">M101+N101</f>
        <v>7482.33</v>
      </c>
      <c r="M101" s="149" t="n">
        <v>4148.63</v>
      </c>
      <c r="N101" s="190" t="n">
        <v>3333.7</v>
      </c>
      <c r="O101" s="151" t="n">
        <v>7</v>
      </c>
      <c r="P101" s="149" t="n">
        <v>12808.33</v>
      </c>
      <c r="Q101" s="149" t="n">
        <f aca="false">R101+S101</f>
        <v>12279.73</v>
      </c>
      <c r="R101" s="149" t="n">
        <v>8651.42</v>
      </c>
      <c r="S101" s="190" t="n">
        <v>3628.31</v>
      </c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 t="s">
        <v>182</v>
      </c>
      <c r="G102" s="180" t="s">
        <v>26</v>
      </c>
      <c r="H102" s="159" t="n">
        <v>6</v>
      </c>
      <c r="I102" s="181" t="n">
        <v>1</v>
      </c>
      <c r="J102" s="181" t="n">
        <v>1</v>
      </c>
      <c r="K102" s="182" t="n">
        <v>4581.2</v>
      </c>
      <c r="L102" s="182" t="n">
        <f aca="false">M102+N102</f>
        <v>3876.4</v>
      </c>
      <c r="M102" s="182"/>
      <c r="N102" s="167" t="n">
        <f aca="false">3876.4</f>
        <v>3876.4</v>
      </c>
      <c r="O102" s="184" t="n">
        <v>8</v>
      </c>
      <c r="P102" s="182" t="n">
        <v>19029.6</v>
      </c>
      <c r="Q102" s="182" t="n">
        <f aca="false">R102+S102</f>
        <v>12686.4</v>
      </c>
      <c r="R102" s="182" t="n">
        <f aca="false">8986.2</f>
        <v>8986.2</v>
      </c>
      <c r="S102" s="167" t="n">
        <f aca="false">3700.2</f>
        <v>3700.2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false" outlineLevel="0" collapsed="false">
      <c r="A103" s="17"/>
      <c r="B103" s="18"/>
      <c r="C103" s="18"/>
      <c r="D103" s="18"/>
      <c r="E103" s="18"/>
      <c r="F103" s="85" t="s">
        <v>237</v>
      </c>
      <c r="G103" s="185" t="s">
        <v>23</v>
      </c>
      <c r="H103" s="186" t="n">
        <v>2</v>
      </c>
      <c r="I103" s="154" t="n">
        <v>2</v>
      </c>
      <c r="J103" s="154" t="n">
        <v>2</v>
      </c>
      <c r="K103" s="155" t="n">
        <v>9338.6</v>
      </c>
      <c r="L103" s="155" t="n">
        <v>1585.8</v>
      </c>
      <c r="M103" s="155" t="n">
        <v>1585.8</v>
      </c>
      <c r="N103" s="156" t="n">
        <v>3347.8</v>
      </c>
      <c r="O103" s="157" t="n">
        <v>4</v>
      </c>
      <c r="P103" s="155" t="n">
        <v>8281.4</v>
      </c>
      <c r="Q103" s="155" t="n">
        <v>7752.8</v>
      </c>
      <c r="R103" s="155" t="n">
        <v>7752.8</v>
      </c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33"/>
      <c r="B104" s="34" t="s">
        <v>79</v>
      </c>
      <c r="C104" s="35" t="s">
        <v>20</v>
      </c>
      <c r="D104" s="35"/>
      <c r="E104" s="35" t="s">
        <v>52</v>
      </c>
      <c r="F104" s="38"/>
      <c r="G104" s="146" t="s">
        <v>22</v>
      </c>
      <c r="H104" s="159" t="n">
        <v>7</v>
      </c>
      <c r="I104" s="160" t="n">
        <v>3</v>
      </c>
      <c r="J104" s="160" t="n">
        <v>4</v>
      </c>
      <c r="K104" s="161" t="n">
        <v>6553.94</v>
      </c>
      <c r="L104" s="161" t="n">
        <f aca="false">M104+N104</f>
        <v>6509.89</v>
      </c>
      <c r="M104" s="161" t="n">
        <v>5452.69</v>
      </c>
      <c r="N104" s="190" t="n">
        <v>1057.2</v>
      </c>
      <c r="O104" s="163" t="n">
        <v>9</v>
      </c>
      <c r="P104" s="161" t="n">
        <v>33475.92</v>
      </c>
      <c r="Q104" s="161" t="n">
        <f aca="false">R104+S104</f>
        <v>32771.12</v>
      </c>
      <c r="R104" s="161" t="n">
        <v>23178.94</v>
      </c>
      <c r="S104" s="190" t="n">
        <v>9592.18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164" t="s">
        <v>26</v>
      </c>
      <c r="H105" s="153"/>
      <c r="I105" s="165"/>
      <c r="J105" s="165"/>
      <c r="K105" s="166"/>
      <c r="L105" s="166" t="n">
        <f aca="false">M105+N105</f>
        <v>0</v>
      </c>
      <c r="M105" s="166"/>
      <c r="N105" s="156"/>
      <c r="O105" s="168"/>
      <c r="P105" s="166"/>
      <c r="Q105" s="166" t="n">
        <f aca="false">R105+S105</f>
        <v>0</v>
      </c>
      <c r="R105" s="166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72"/>
      <c r="B106" s="73" t="s">
        <v>80</v>
      </c>
      <c r="C106" s="74" t="s">
        <v>20</v>
      </c>
      <c r="D106" s="74"/>
      <c r="E106" s="74" t="s">
        <v>81</v>
      </c>
      <c r="F106" s="20"/>
      <c r="G106" s="146" t="s">
        <v>22</v>
      </c>
      <c r="H106" s="159" t="n">
        <v>6</v>
      </c>
      <c r="I106" s="148" t="n">
        <v>3</v>
      </c>
      <c r="J106" s="148" t="n">
        <v>4</v>
      </c>
      <c r="K106" s="149" t="n">
        <v>6657.21</v>
      </c>
      <c r="L106" s="149" t="n">
        <f aca="false">M106+N106</f>
        <v>6657.21</v>
      </c>
      <c r="M106" s="149" t="n">
        <v>6657.21</v>
      </c>
      <c r="N106" s="190"/>
      <c r="O106" s="151" t="n">
        <v>1</v>
      </c>
      <c r="P106" s="149" t="n">
        <v>2381.63</v>
      </c>
      <c r="Q106" s="149" t="n">
        <f aca="false">R106+S106</f>
        <v>0</v>
      </c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72"/>
      <c r="B107" s="73"/>
      <c r="C107" s="73"/>
      <c r="D107" s="73"/>
      <c r="E107" s="73"/>
      <c r="F107" s="42" t="s">
        <v>183</v>
      </c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 t="n">
        <v>1</v>
      </c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17"/>
      <c r="B108" s="18" t="s">
        <v>82</v>
      </c>
      <c r="C108" s="19" t="s">
        <v>20</v>
      </c>
      <c r="D108" s="19" t="s">
        <v>184</v>
      </c>
      <c r="E108" s="19" t="s">
        <v>25</v>
      </c>
      <c r="F108" s="22"/>
      <c r="G108" s="146" t="s">
        <v>22</v>
      </c>
      <c r="H108" s="159" t="n">
        <v>22</v>
      </c>
      <c r="I108" s="148" t="n">
        <v>21</v>
      </c>
      <c r="J108" s="148" t="n">
        <v>26</v>
      </c>
      <c r="K108" s="149" t="n">
        <v>29760.04</v>
      </c>
      <c r="L108" s="149" t="n">
        <f aca="false">M108+N108</f>
        <v>29760.04</v>
      </c>
      <c r="M108" s="149" t="n">
        <v>15002.32</v>
      </c>
      <c r="N108" s="190" t="n">
        <v>14757.72</v>
      </c>
      <c r="O108" s="151" t="n">
        <v>3</v>
      </c>
      <c r="P108" s="149" t="n">
        <v>16087.08</v>
      </c>
      <c r="Q108" s="149" t="n">
        <f aca="false">R108+S108</f>
        <v>16087.08</v>
      </c>
      <c r="R108" s="149" t="n">
        <v>8372.97</v>
      </c>
      <c r="S108" s="190" t="n">
        <v>7714.11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42" t="s">
        <v>185</v>
      </c>
      <c r="G109" s="164" t="s">
        <v>26</v>
      </c>
      <c r="H109" s="175" t="n">
        <v>3</v>
      </c>
      <c r="I109" s="165" t="n">
        <v>2</v>
      </c>
      <c r="J109" s="165" t="n">
        <v>2</v>
      </c>
      <c r="K109" s="166" t="n">
        <v>6519.4</v>
      </c>
      <c r="L109" s="166" t="n">
        <f aca="false">M109+N109</f>
        <v>2114.4</v>
      </c>
      <c r="M109" s="166"/>
      <c r="N109" s="156" t="n">
        <v>2114.4</v>
      </c>
      <c r="O109" s="168" t="n">
        <v>2</v>
      </c>
      <c r="P109" s="166" t="n">
        <v>3171.6</v>
      </c>
      <c r="Q109" s="166" t="n">
        <f aca="false">R109+S109</f>
        <v>2643</v>
      </c>
      <c r="R109" s="166" t="n">
        <f aca="false">2643</f>
        <v>2643</v>
      </c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232"/>
      <c r="B110" s="233" t="s">
        <v>254</v>
      </c>
      <c r="C110" s="19" t="s">
        <v>20</v>
      </c>
      <c r="D110" s="19"/>
      <c r="E110" s="19" t="s">
        <v>25</v>
      </c>
      <c r="F110" s="20"/>
      <c r="G110" s="146" t="s">
        <v>22</v>
      </c>
      <c r="H110" s="173"/>
      <c r="I110" s="148"/>
      <c r="J110" s="148"/>
      <c r="K110" s="149"/>
      <c r="L110" s="149"/>
      <c r="M110" s="149"/>
      <c r="N110" s="190"/>
      <c r="O110" s="206"/>
      <c r="P110" s="149"/>
      <c r="Q110" s="149"/>
      <c r="R110" s="149"/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" hidden="false" customHeight="false" outlineLevel="0" collapsed="false">
      <c r="A111" s="232"/>
      <c r="B111" s="233"/>
      <c r="C111" s="19"/>
      <c r="D111" s="19"/>
      <c r="E111" s="19"/>
      <c r="F111" s="26" t="s">
        <v>271</v>
      </c>
      <c r="G111" s="152" t="s">
        <v>26</v>
      </c>
      <c r="H111" s="174" t="n">
        <v>4</v>
      </c>
      <c r="I111" s="154"/>
      <c r="J111" s="154"/>
      <c r="K111" s="155"/>
      <c r="L111" s="155"/>
      <c r="M111" s="155"/>
      <c r="N111" s="156"/>
      <c r="O111" s="209"/>
      <c r="P111" s="155"/>
      <c r="Q111" s="155"/>
      <c r="R111" s="155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54"/>
      <c r="B112" s="55" t="s">
        <v>83</v>
      </c>
      <c r="C112" s="56" t="s">
        <v>20</v>
      </c>
      <c r="D112" s="56"/>
      <c r="E112" s="56" t="s">
        <v>25</v>
      </c>
      <c r="F112" s="36"/>
      <c r="G112" s="158" t="s">
        <v>22</v>
      </c>
      <c r="H112" s="159" t="n">
        <v>13</v>
      </c>
      <c r="I112" s="160" t="n">
        <v>9</v>
      </c>
      <c r="J112" s="160" t="n">
        <v>9</v>
      </c>
      <c r="K112" s="161" t="n">
        <v>9100.55</v>
      </c>
      <c r="L112" s="161" t="n">
        <f aca="false">M112+N112</f>
        <v>9100.55</v>
      </c>
      <c r="M112" s="161" t="n">
        <v>6281.55</v>
      </c>
      <c r="N112" s="190" t="n">
        <v>2819</v>
      </c>
      <c r="O112" s="163" t="n">
        <v>4</v>
      </c>
      <c r="P112" s="161" t="n">
        <v>12699.66</v>
      </c>
      <c r="Q112" s="161" t="n">
        <f aca="false">R112+S112</f>
        <v>12699.66</v>
      </c>
      <c r="R112" s="161" t="n">
        <v>10585.46</v>
      </c>
      <c r="S112" s="190" t="n">
        <v>2114.2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54"/>
      <c r="B113" s="55"/>
      <c r="C113" s="55"/>
      <c r="D113" s="55"/>
      <c r="E113" s="55"/>
      <c r="F113" s="26" t="s">
        <v>186</v>
      </c>
      <c r="G113" s="152" t="s">
        <v>26</v>
      </c>
      <c r="H113" s="153" t="n">
        <v>4</v>
      </c>
      <c r="I113" s="154"/>
      <c r="J113" s="154"/>
      <c r="K113" s="155"/>
      <c r="L113" s="155" t="n">
        <f aca="false">M113+N113</f>
        <v>0</v>
      </c>
      <c r="M113" s="155"/>
      <c r="N113" s="156"/>
      <c r="O113" s="157" t="n">
        <v>8</v>
      </c>
      <c r="P113" s="155" t="n">
        <v>11805.4</v>
      </c>
      <c r="Q113" s="155" t="n">
        <f aca="false">R113+S113</f>
        <v>22553.6</v>
      </c>
      <c r="R113" s="155" t="n">
        <f aca="false">528.6</f>
        <v>528.6</v>
      </c>
      <c r="S113" s="156" t="n">
        <f aca="false">22025</f>
        <v>22025</v>
      </c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33"/>
      <c r="B114" s="34" t="s">
        <v>84</v>
      </c>
      <c r="C114" s="35" t="s">
        <v>20</v>
      </c>
      <c r="D114" s="35"/>
      <c r="E114" s="35" t="s">
        <v>52</v>
      </c>
      <c r="F114" s="36"/>
      <c r="G114" s="146" t="s">
        <v>22</v>
      </c>
      <c r="H114" s="159" t="n">
        <v>24</v>
      </c>
      <c r="I114" s="160" t="n">
        <v>15</v>
      </c>
      <c r="J114" s="160" t="n">
        <v>22</v>
      </c>
      <c r="K114" s="161" t="n">
        <v>39989.79</v>
      </c>
      <c r="L114" s="161" t="n">
        <f aca="false">M114+N114</f>
        <v>12299.99</v>
      </c>
      <c r="M114" s="161" t="n">
        <v>12299.99</v>
      </c>
      <c r="N114" s="190"/>
      <c r="O114" s="163" t="n">
        <v>26</v>
      </c>
      <c r="P114" s="161" t="n">
        <v>50568.54</v>
      </c>
      <c r="Q114" s="161" t="n">
        <f aca="false">R114+S114</f>
        <v>32814.22</v>
      </c>
      <c r="R114" s="161" t="n">
        <v>32814.22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33"/>
      <c r="B115" s="34"/>
      <c r="C115" s="34"/>
      <c r="D115" s="34"/>
      <c r="E115" s="34"/>
      <c r="F115" s="71"/>
      <c r="G115" s="164" t="s">
        <v>26</v>
      </c>
      <c r="H115" s="153"/>
      <c r="I115" s="165"/>
      <c r="J115" s="165"/>
      <c r="K115" s="166"/>
      <c r="L115" s="166" t="n">
        <f aca="false">M115+N115</f>
        <v>0</v>
      </c>
      <c r="M115" s="166"/>
      <c r="N115" s="156"/>
      <c r="O115" s="168"/>
      <c r="P115" s="166"/>
      <c r="Q115" s="166" t="n">
        <f aca="false">R115+S115</f>
        <v>0</v>
      </c>
      <c r="R115" s="166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85</v>
      </c>
      <c r="C116" s="19" t="s">
        <v>20</v>
      </c>
      <c r="D116" s="19"/>
      <c r="E116" s="19" t="s">
        <v>25</v>
      </c>
      <c r="F116" s="87"/>
      <c r="G116" s="146" t="s">
        <v>22</v>
      </c>
      <c r="H116" s="169" t="n">
        <v>4</v>
      </c>
      <c r="I116" s="148" t="n">
        <v>1</v>
      </c>
      <c r="J116" s="148" t="n">
        <v>1</v>
      </c>
      <c r="K116" s="149" t="n">
        <v>528.6</v>
      </c>
      <c r="L116" s="149" t="n">
        <f aca="false">M116+N116</f>
        <v>528.6</v>
      </c>
      <c r="M116" s="149" t="n">
        <v>528.6</v>
      </c>
      <c r="N116" s="190"/>
      <c r="O116" s="151" t="n">
        <v>1</v>
      </c>
      <c r="P116" s="149" t="n">
        <v>1162.92</v>
      </c>
      <c r="Q116" s="149" t="n">
        <f aca="false">R116+S116</f>
        <v>1162.92</v>
      </c>
      <c r="R116" s="149" t="n">
        <v>1162.92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88"/>
      <c r="G117" s="152" t="s">
        <v>26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17"/>
      <c r="B118" s="73" t="s">
        <v>86</v>
      </c>
      <c r="C118" s="74" t="s">
        <v>33</v>
      </c>
      <c r="D118" s="74" t="s">
        <v>87</v>
      </c>
      <c r="E118" s="74" t="s">
        <v>88</v>
      </c>
      <c r="F118" s="20"/>
      <c r="G118" s="146" t="s">
        <v>22</v>
      </c>
      <c r="H118" s="169" t="n">
        <v>22</v>
      </c>
      <c r="I118" s="148" t="n">
        <v>15</v>
      </c>
      <c r="J118" s="148" t="n">
        <v>17</v>
      </c>
      <c r="K118" s="149" t="n">
        <v>19023.83</v>
      </c>
      <c r="L118" s="149" t="n">
        <f aca="false">M118+N118</f>
        <v>17200.17</v>
      </c>
      <c r="M118" s="149" t="n">
        <v>11020.18</v>
      </c>
      <c r="N118" s="190" t="n">
        <v>6179.99</v>
      </c>
      <c r="O118" s="151" t="n">
        <v>15</v>
      </c>
      <c r="P118" s="149" t="n">
        <v>19146</v>
      </c>
      <c r="Q118" s="149" t="n">
        <f aca="false">R118+S118</f>
        <v>12627.56</v>
      </c>
      <c r="R118" s="149" t="n">
        <v>12627.56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73"/>
      <c r="C119" s="73"/>
      <c r="D119" s="73"/>
      <c r="E119" s="73"/>
      <c r="F119" s="42" t="s">
        <v>238</v>
      </c>
      <c r="G119" s="164" t="s">
        <v>23</v>
      </c>
      <c r="H119" s="171" t="n">
        <v>20</v>
      </c>
      <c r="I119" s="165" t="n">
        <v>9</v>
      </c>
      <c r="J119" s="165" t="n">
        <v>9</v>
      </c>
      <c r="K119" s="166" t="n">
        <v>9867.2</v>
      </c>
      <c r="L119" s="166" t="n">
        <v>5990.8</v>
      </c>
      <c r="M119" s="166" t="n">
        <v>5990.8</v>
      </c>
      <c r="N119" s="156"/>
      <c r="O119" s="168" t="n">
        <v>12</v>
      </c>
      <c r="P119" s="166" t="n">
        <v>28808.7</v>
      </c>
      <c r="Q119" s="166" t="n">
        <v>20527.3</v>
      </c>
      <c r="R119" s="166" t="n">
        <v>20527.3</v>
      </c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89</v>
      </c>
      <c r="C120" s="19" t="s">
        <v>20</v>
      </c>
      <c r="D120" s="19" t="s">
        <v>90</v>
      </c>
      <c r="E120" s="19" t="s">
        <v>42</v>
      </c>
      <c r="F120" s="20"/>
      <c r="G120" s="146" t="s">
        <v>22</v>
      </c>
      <c r="H120" s="159" t="n">
        <v>21</v>
      </c>
      <c r="I120" s="148" t="n">
        <v>13</v>
      </c>
      <c r="J120" s="148" t="n">
        <v>15</v>
      </c>
      <c r="K120" s="149" t="n">
        <v>41123.37</v>
      </c>
      <c r="L120" s="149" t="n">
        <f aca="false">M120+N120</f>
        <v>17842.41</v>
      </c>
      <c r="M120" s="149" t="n">
        <v>17842.41</v>
      </c>
      <c r="N120" s="190"/>
      <c r="O120" s="151" t="n">
        <v>19</v>
      </c>
      <c r="P120" s="149" t="n">
        <v>67670.88</v>
      </c>
      <c r="Q120" s="149" t="n">
        <f aca="false">R120+S120</f>
        <v>51532.2</v>
      </c>
      <c r="R120" s="149" t="n">
        <v>51532.2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26" t="s">
        <v>239</v>
      </c>
      <c r="G121" s="152" t="s">
        <v>23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33"/>
      <c r="B122" s="34" t="s">
        <v>91</v>
      </c>
      <c r="C122" s="35" t="s">
        <v>33</v>
      </c>
      <c r="D122" s="35" t="s">
        <v>92</v>
      </c>
      <c r="E122" s="35" t="s">
        <v>25</v>
      </c>
      <c r="F122" s="38" t="s">
        <v>239</v>
      </c>
      <c r="G122" s="146" t="s">
        <v>22</v>
      </c>
      <c r="H122" s="159" t="n">
        <v>21</v>
      </c>
      <c r="I122" s="160" t="n">
        <v>8</v>
      </c>
      <c r="J122" s="160" t="n">
        <v>8</v>
      </c>
      <c r="K122" s="161" t="n">
        <v>23468.7</v>
      </c>
      <c r="L122" s="161" t="n">
        <f aca="false">M122+N122</f>
        <v>11259.18</v>
      </c>
      <c r="M122" s="161" t="n">
        <v>4915.98</v>
      </c>
      <c r="N122" s="190" t="n">
        <v>6343.2</v>
      </c>
      <c r="O122" s="163" t="n">
        <v>12</v>
      </c>
      <c r="P122" s="161" t="n">
        <v>78950.02</v>
      </c>
      <c r="Q122" s="161" t="n">
        <f aca="false">R122+S122</f>
        <v>59549.41</v>
      </c>
      <c r="R122" s="161" t="n">
        <v>55873.9</v>
      </c>
      <c r="S122" s="190" t="n">
        <v>3675.51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33"/>
      <c r="B123" s="34"/>
      <c r="C123" s="34"/>
      <c r="D123" s="34"/>
      <c r="E123" s="34"/>
      <c r="F123" s="89"/>
      <c r="G123" s="187" t="s">
        <v>23</v>
      </c>
      <c r="H123" s="169"/>
      <c r="I123" s="188"/>
      <c r="J123" s="188"/>
      <c r="K123" s="189"/>
      <c r="L123" s="189" t="n">
        <f aca="false">M123+N123</f>
        <v>0</v>
      </c>
      <c r="M123" s="189"/>
      <c r="N123" s="167"/>
      <c r="O123" s="191"/>
      <c r="P123" s="189"/>
      <c r="Q123" s="189" t="n">
        <f aca="false">R123+S123</f>
        <v>0</v>
      </c>
      <c r="R123" s="189"/>
      <c r="S123" s="167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/>
      <c r="C124" s="34"/>
      <c r="D124" s="34"/>
      <c r="E124" s="34"/>
      <c r="F124" s="42" t="s">
        <v>187</v>
      </c>
      <c r="G124" s="164" t="s">
        <v>26</v>
      </c>
      <c r="H124" s="171" t="n">
        <v>5</v>
      </c>
      <c r="I124" s="165" t="n">
        <v>1</v>
      </c>
      <c r="J124" s="165" t="n">
        <v>2</v>
      </c>
      <c r="K124" s="166" t="n">
        <v>4193.56</v>
      </c>
      <c r="L124" s="166" t="n">
        <f aca="false">M124+N124</f>
        <v>4193.56</v>
      </c>
      <c r="M124" s="166" t="n">
        <f aca="false">2266.65+23.95</f>
        <v>2290.6</v>
      </c>
      <c r="N124" s="156" t="n">
        <v>1902.96</v>
      </c>
      <c r="O124" s="168" t="n">
        <v>7</v>
      </c>
      <c r="P124" s="166" t="n">
        <v>29143.12</v>
      </c>
      <c r="Q124" s="166" t="n">
        <f aca="false">R124+S124</f>
        <v>39891.68</v>
      </c>
      <c r="R124" s="166" t="n">
        <f aca="false">29167.43-47.9+23.95</f>
        <v>29143.48</v>
      </c>
      <c r="S124" s="156" t="n">
        <v>10748.2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 t="s">
        <v>93</v>
      </c>
      <c r="C125" s="19" t="s">
        <v>20</v>
      </c>
      <c r="D125" s="49"/>
      <c r="E125" s="19" t="s">
        <v>50</v>
      </c>
      <c r="F125" s="87"/>
      <c r="G125" s="146" t="s">
        <v>22</v>
      </c>
      <c r="H125" s="169" t="n">
        <v>6</v>
      </c>
      <c r="I125" s="148"/>
      <c r="J125" s="148"/>
      <c r="K125" s="149"/>
      <c r="L125" s="149" t="n">
        <f aca="false">M125+N125</f>
        <v>0</v>
      </c>
      <c r="M125" s="149"/>
      <c r="N125" s="190"/>
      <c r="O125" s="151"/>
      <c r="P125" s="149"/>
      <c r="Q125" s="149" t="n">
        <f aca="false">R125+S125</f>
        <v>0</v>
      </c>
      <c r="R125" s="149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88" t="s">
        <v>188</v>
      </c>
      <c r="G126" s="152" t="s">
        <v>26</v>
      </c>
      <c r="H126" s="171" t="n">
        <v>6</v>
      </c>
      <c r="I126" s="154"/>
      <c r="J126" s="154"/>
      <c r="K126" s="155"/>
      <c r="L126" s="155" t="n">
        <f aca="false">M126+N126</f>
        <v>0</v>
      </c>
      <c r="M126" s="155"/>
      <c r="N126" s="156"/>
      <c r="O126" s="157"/>
      <c r="P126" s="155"/>
      <c r="Q126" s="155" t="n">
        <f aca="false">R126+S126</f>
        <v>0</v>
      </c>
      <c r="R126" s="155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" hidden="false" customHeight="true" outlineLevel="0" collapsed="false">
      <c r="A127" s="54"/>
      <c r="B127" s="55" t="s">
        <v>94</v>
      </c>
      <c r="C127" s="56" t="s">
        <v>20</v>
      </c>
      <c r="D127" s="56"/>
      <c r="E127" s="56" t="s">
        <v>52</v>
      </c>
      <c r="F127" s="36"/>
      <c r="G127" s="158" t="s">
        <v>22</v>
      </c>
      <c r="H127" s="159" t="n">
        <v>9</v>
      </c>
      <c r="I127" s="160" t="n">
        <v>5</v>
      </c>
      <c r="J127" s="160" t="n">
        <v>5</v>
      </c>
      <c r="K127" s="161" t="n">
        <v>4891.75</v>
      </c>
      <c r="L127" s="161" t="n">
        <f aca="false">M127+N127</f>
        <v>4891.75</v>
      </c>
      <c r="M127" s="161" t="n">
        <v>2133.78</v>
      </c>
      <c r="N127" s="190" t="n">
        <v>2757.97</v>
      </c>
      <c r="O127" s="163" t="n">
        <v>8</v>
      </c>
      <c r="P127" s="161" t="n">
        <v>22293.04</v>
      </c>
      <c r="Q127" s="161" t="n">
        <f aca="false">R127+S127</f>
        <v>22293.04</v>
      </c>
      <c r="R127" s="161" t="n">
        <v>17787.53</v>
      </c>
      <c r="S127" s="190" t="n">
        <v>4505.51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54"/>
      <c r="B128" s="55"/>
      <c r="C128" s="55"/>
      <c r="D128" s="55"/>
      <c r="E128" s="55"/>
      <c r="F128" s="42" t="s">
        <v>189</v>
      </c>
      <c r="G128" s="164" t="s">
        <v>26</v>
      </c>
      <c r="H128" s="171" t="n">
        <v>10</v>
      </c>
      <c r="I128" s="154" t="n">
        <v>1</v>
      </c>
      <c r="J128" s="154" t="n">
        <v>1</v>
      </c>
      <c r="K128" s="155" t="n">
        <v>2446.8</v>
      </c>
      <c r="L128" s="155" t="n">
        <f aca="false">M128+N128</f>
        <v>1938.2</v>
      </c>
      <c r="M128" s="155"/>
      <c r="N128" s="156" t="n">
        <v>1938.2</v>
      </c>
      <c r="O128" s="157" t="n">
        <v>5</v>
      </c>
      <c r="P128" s="155" t="n">
        <v>6871.8</v>
      </c>
      <c r="Q128" s="155" t="n">
        <f aca="false">R128+S128</f>
        <v>9242.4</v>
      </c>
      <c r="R128" s="155" t="n">
        <f aca="false">1585.8+1585.8</f>
        <v>3171.6</v>
      </c>
      <c r="S128" s="156" t="n">
        <v>6070.8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33"/>
      <c r="B129" s="34" t="s">
        <v>95</v>
      </c>
      <c r="C129" s="35" t="s">
        <v>33</v>
      </c>
      <c r="D129" s="35" t="s">
        <v>96</v>
      </c>
      <c r="E129" s="35" t="s">
        <v>88</v>
      </c>
      <c r="F129" s="22"/>
      <c r="G129" s="146" t="s">
        <v>22</v>
      </c>
      <c r="H129" s="159" t="n">
        <v>14</v>
      </c>
      <c r="I129" s="160" t="n">
        <v>8</v>
      </c>
      <c r="J129" s="192" t="n">
        <v>8</v>
      </c>
      <c r="K129" s="161" t="n">
        <v>11316.44</v>
      </c>
      <c r="L129" s="161" t="n">
        <f aca="false">M129+N129</f>
        <v>11316.44</v>
      </c>
      <c r="M129" s="161" t="n">
        <v>11316.44</v>
      </c>
      <c r="N129" s="190"/>
      <c r="O129" s="163"/>
      <c r="P129" s="161"/>
      <c r="Q129" s="161" t="n">
        <f aca="false">R129+S129</f>
        <v>0</v>
      </c>
      <c r="R129" s="161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33"/>
      <c r="B130" s="34"/>
      <c r="C130" s="34"/>
      <c r="D130" s="34"/>
      <c r="E130" s="34"/>
      <c r="F130" s="42" t="s">
        <v>240</v>
      </c>
      <c r="G130" s="164" t="s">
        <v>23</v>
      </c>
      <c r="H130" s="171" t="n">
        <v>6</v>
      </c>
      <c r="I130" s="165" t="n">
        <v>4</v>
      </c>
      <c r="J130" s="165" t="n">
        <v>4</v>
      </c>
      <c r="K130" s="166" t="n">
        <v>2114.4</v>
      </c>
      <c r="L130" s="166" t="n">
        <f aca="false">M130+N130</f>
        <v>0</v>
      </c>
      <c r="M130" s="166"/>
      <c r="N130" s="156"/>
      <c r="O130" s="168" t="n">
        <v>2</v>
      </c>
      <c r="P130" s="166" t="n">
        <v>6167</v>
      </c>
      <c r="Q130" s="166" t="n">
        <f aca="false">R130+S130</f>
        <v>0</v>
      </c>
      <c r="R130" s="166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72"/>
      <c r="B131" s="73" t="s">
        <v>97</v>
      </c>
      <c r="C131" s="74" t="s">
        <v>20</v>
      </c>
      <c r="D131" s="74"/>
      <c r="E131" s="74" t="s">
        <v>98</v>
      </c>
      <c r="F131" s="20"/>
      <c r="G131" s="146" t="s">
        <v>22</v>
      </c>
      <c r="H131" s="159" t="n">
        <v>7</v>
      </c>
      <c r="I131" s="148" t="n">
        <v>7</v>
      </c>
      <c r="J131" s="148" t="n">
        <v>8</v>
      </c>
      <c r="K131" s="149" t="n">
        <v>16726.6</v>
      </c>
      <c r="L131" s="149" t="n">
        <f aca="false">M131+N131</f>
        <v>6540.54</v>
      </c>
      <c r="M131" s="149" t="n">
        <v>2223.64</v>
      </c>
      <c r="N131" s="190" t="n">
        <v>4316.9</v>
      </c>
      <c r="O131" s="151" t="n">
        <v>9</v>
      </c>
      <c r="P131" s="149" t="n">
        <v>43045.94</v>
      </c>
      <c r="Q131" s="149" t="n">
        <f aca="false">R131+S131</f>
        <v>26155.25</v>
      </c>
      <c r="R131" s="149" t="n">
        <v>19174.92</v>
      </c>
      <c r="S131" s="190" t="n">
        <v>6980.33</v>
      </c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72"/>
      <c r="B132" s="73"/>
      <c r="C132" s="73"/>
      <c r="D132" s="73"/>
      <c r="E132" s="73"/>
      <c r="F132" s="42" t="s">
        <v>241</v>
      </c>
      <c r="G132" s="164" t="s">
        <v>23</v>
      </c>
      <c r="H132" s="172" t="n">
        <v>17</v>
      </c>
      <c r="I132" s="165" t="n">
        <v>14</v>
      </c>
      <c r="J132" s="165" t="n">
        <v>14</v>
      </c>
      <c r="K132" s="166" t="n">
        <v>12510.2</v>
      </c>
      <c r="L132" s="166" t="n">
        <v>2605.89</v>
      </c>
      <c r="M132" s="166" t="n">
        <v>2605.89</v>
      </c>
      <c r="N132" s="156" t="n">
        <v>565.71</v>
      </c>
      <c r="O132" s="168" t="n">
        <v>11</v>
      </c>
      <c r="P132" s="166" t="n">
        <v>28192</v>
      </c>
      <c r="Q132" s="166" t="n">
        <v>18677.2</v>
      </c>
      <c r="R132" s="166" t="n">
        <v>18677.2</v>
      </c>
      <c r="S132" s="156" t="n">
        <v>2643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 t="s">
        <v>156</v>
      </c>
      <c r="C133" s="19"/>
      <c r="D133" s="19"/>
      <c r="E133" s="19"/>
      <c r="F133" s="20"/>
      <c r="G133" s="146" t="s">
        <v>22</v>
      </c>
      <c r="H133" s="173" t="n">
        <v>23</v>
      </c>
      <c r="I133" s="148" t="n">
        <v>16</v>
      </c>
      <c r="J133" s="148" t="n">
        <v>20</v>
      </c>
      <c r="K133" s="149" t="n">
        <v>55268.48</v>
      </c>
      <c r="L133" s="149" t="n">
        <f aca="false">M133+N133</f>
        <v>55268.48</v>
      </c>
      <c r="M133" s="149" t="n">
        <v>14834.62</v>
      </c>
      <c r="N133" s="190" t="n">
        <v>40433.86</v>
      </c>
      <c r="O133" s="151"/>
      <c r="P133" s="149"/>
      <c r="Q133" s="149" t="n">
        <f aca="false">R133+S133</f>
        <v>0</v>
      </c>
      <c r="R133" s="149"/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89" t="s">
        <v>272</v>
      </c>
      <c r="G134" s="187" t="s">
        <v>26</v>
      </c>
      <c r="H134" s="172" t="n">
        <v>10</v>
      </c>
      <c r="I134" s="188" t="n">
        <v>5</v>
      </c>
      <c r="J134" s="188" t="n">
        <v>5</v>
      </c>
      <c r="K134" s="189" t="n">
        <v>4754.4</v>
      </c>
      <c r="L134" s="189" t="n">
        <f aca="false">M134+N134</f>
        <v>4581.2</v>
      </c>
      <c r="M134" s="189" t="n">
        <f aca="false">1233.4</f>
        <v>1233.4</v>
      </c>
      <c r="N134" s="167" t="n">
        <f aca="false">3347.8</f>
        <v>3347.8</v>
      </c>
      <c r="O134" s="191"/>
      <c r="P134" s="189"/>
      <c r="Q134" s="189" t="n">
        <f aca="false">R134+S134</f>
        <v>0</v>
      </c>
      <c r="R134" s="189"/>
      <c r="S134" s="167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/>
      <c r="C135" s="18"/>
      <c r="D135" s="18"/>
      <c r="E135" s="18"/>
      <c r="F135" s="71"/>
      <c r="G135" s="164" t="s">
        <v>23</v>
      </c>
      <c r="H135" s="177"/>
      <c r="I135" s="165"/>
      <c r="J135" s="165"/>
      <c r="K135" s="166"/>
      <c r="L135" s="166" t="n">
        <f aca="false">M135+N135</f>
        <v>0</v>
      </c>
      <c r="M135" s="166"/>
      <c r="N135" s="156"/>
      <c r="O135" s="168"/>
      <c r="P135" s="166"/>
      <c r="Q135" s="166" t="n">
        <f aca="false">R135+S135</f>
        <v>0</v>
      </c>
      <c r="R135" s="166"/>
      <c r="S135" s="156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 t="s">
        <v>190</v>
      </c>
      <c r="C136" s="19"/>
      <c r="D136" s="19"/>
      <c r="E136" s="19"/>
      <c r="F136" s="20"/>
      <c r="G136" s="146" t="s">
        <v>22</v>
      </c>
      <c r="H136" s="173" t="n">
        <v>7</v>
      </c>
      <c r="I136" s="148"/>
      <c r="J136" s="148"/>
      <c r="K136" s="149"/>
      <c r="L136" s="149" t="n">
        <f aca="false">M136+N136</f>
        <v>0</v>
      </c>
      <c r="M136" s="149"/>
      <c r="N136" s="190"/>
      <c r="O136" s="151"/>
      <c r="P136" s="149"/>
      <c r="Q136" s="149" t="n">
        <f aca="false">R136+S136</f>
        <v>0</v>
      </c>
      <c r="R136" s="149"/>
      <c r="S136" s="190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26" t="s">
        <v>242</v>
      </c>
      <c r="G137" s="152" t="s">
        <v>23</v>
      </c>
      <c r="H137" s="174" t="n">
        <v>2</v>
      </c>
      <c r="I137" s="154"/>
      <c r="J137" s="154"/>
      <c r="K137" s="155"/>
      <c r="L137" s="155" t="n">
        <f aca="false">M137+N137</f>
        <v>0</v>
      </c>
      <c r="M137" s="155"/>
      <c r="N137" s="156"/>
      <c r="O137" s="157"/>
      <c r="P137" s="155"/>
      <c r="Q137" s="155" t="n">
        <f aca="false">R137+S137</f>
        <v>0</v>
      </c>
      <c r="R137" s="155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54"/>
      <c r="B138" s="55" t="s">
        <v>99</v>
      </c>
      <c r="C138" s="56" t="s">
        <v>33</v>
      </c>
      <c r="D138" s="56" t="s">
        <v>100</v>
      </c>
      <c r="E138" s="56" t="s">
        <v>101</v>
      </c>
      <c r="F138" s="36"/>
      <c r="G138" s="158" t="s">
        <v>22</v>
      </c>
      <c r="H138" s="159" t="n">
        <v>23</v>
      </c>
      <c r="I138" s="160" t="n">
        <v>17</v>
      </c>
      <c r="J138" s="160" t="n">
        <v>17</v>
      </c>
      <c r="K138" s="161" t="n">
        <v>5109.8</v>
      </c>
      <c r="L138" s="161" t="n">
        <f aca="false">M138+N138</f>
        <v>4757.4</v>
      </c>
      <c r="M138" s="161" t="n">
        <v>4493.1</v>
      </c>
      <c r="N138" s="190" t="n">
        <v>264.3</v>
      </c>
      <c r="O138" s="163" t="n">
        <v>22</v>
      </c>
      <c r="P138" s="161" t="n">
        <v>38323.95</v>
      </c>
      <c r="Q138" s="161" t="n">
        <f aca="false">R138+S138</f>
        <v>38323.95</v>
      </c>
      <c r="R138" s="161" t="n">
        <v>27295.59</v>
      </c>
      <c r="S138" s="190" t="n">
        <v>11028.36</v>
      </c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54"/>
      <c r="B139" s="55"/>
      <c r="C139" s="55"/>
      <c r="D139" s="55"/>
      <c r="E139" s="55"/>
      <c r="F139" s="80" t="s">
        <v>191</v>
      </c>
      <c r="G139" s="180" t="s">
        <v>26</v>
      </c>
      <c r="H139" s="169" t="n">
        <v>9</v>
      </c>
      <c r="I139" s="181" t="n">
        <v>5</v>
      </c>
      <c r="J139" s="181" t="n">
        <v>5</v>
      </c>
      <c r="K139" s="182" t="n">
        <v>4228.8</v>
      </c>
      <c r="L139" s="182" t="n">
        <f aca="false">M139+N139</f>
        <v>2643</v>
      </c>
      <c r="M139" s="182" t="n">
        <f aca="false">2643</f>
        <v>2643</v>
      </c>
      <c r="N139" s="167"/>
      <c r="O139" s="184" t="n">
        <v>3</v>
      </c>
      <c r="P139" s="182" t="n">
        <v>5374.1</v>
      </c>
      <c r="Q139" s="161" t="n">
        <f aca="false">R139+S139</f>
        <v>6607.5</v>
      </c>
      <c r="R139" s="182" t="n">
        <f aca="false">1673.9+3700.2</f>
        <v>5374.1</v>
      </c>
      <c r="S139" s="167" t="n">
        <f aca="false">1233.4</f>
        <v>1233.4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/>
      <c r="C140" s="55"/>
      <c r="D140" s="55"/>
      <c r="E140" s="55"/>
      <c r="F140" s="42"/>
      <c r="G140" s="164" t="s">
        <v>23</v>
      </c>
      <c r="H140" s="175"/>
      <c r="I140" s="165"/>
      <c r="J140" s="165"/>
      <c r="K140" s="166"/>
      <c r="L140" s="166" t="n">
        <f aca="false">M140+N140</f>
        <v>0</v>
      </c>
      <c r="M140" s="166"/>
      <c r="N140" s="156"/>
      <c r="O140" s="168"/>
      <c r="P140" s="166"/>
      <c r="Q140" s="166" t="n">
        <f aca="false">R140+S140</f>
        <v>0</v>
      </c>
      <c r="R140" s="166"/>
      <c r="S140" s="156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 t="s">
        <v>224</v>
      </c>
      <c r="C141" s="19"/>
      <c r="D141" s="19"/>
      <c r="E141" s="19"/>
      <c r="F141" s="20"/>
      <c r="G141" s="146" t="s">
        <v>22</v>
      </c>
      <c r="H141" s="147" t="n">
        <v>5</v>
      </c>
      <c r="I141" s="148" t="n">
        <v>4</v>
      </c>
      <c r="J141" s="148" t="n">
        <v>5</v>
      </c>
      <c r="K141" s="149" t="n">
        <v>4673.26</v>
      </c>
      <c r="L141" s="149" t="n">
        <f aca="false">M141+N141</f>
        <v>3968.46</v>
      </c>
      <c r="M141" s="149" t="n">
        <v>3968.46</v>
      </c>
      <c r="N141" s="190"/>
      <c r="O141" s="151"/>
      <c r="P141" s="149"/>
      <c r="Q141" s="149" t="n">
        <f aca="false">R141+S141</f>
        <v>0</v>
      </c>
      <c r="R141" s="149"/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273</v>
      </c>
      <c r="G142" s="152" t="s">
        <v>26</v>
      </c>
      <c r="H142" s="176" t="n">
        <v>4</v>
      </c>
      <c r="I142" s="154"/>
      <c r="J142" s="154"/>
      <c r="K142" s="155"/>
      <c r="L142" s="155" t="n">
        <f aca="false">M142+N142</f>
        <v>0</v>
      </c>
      <c r="M142" s="155"/>
      <c r="N142" s="156"/>
      <c r="O142" s="157"/>
      <c r="P142" s="155"/>
      <c r="Q142" s="155" t="n">
        <f aca="false">R142+S142</f>
        <v>0</v>
      </c>
      <c r="R142" s="155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33"/>
      <c r="B143" s="34" t="s">
        <v>102</v>
      </c>
      <c r="C143" s="35" t="s">
        <v>20</v>
      </c>
      <c r="D143" s="35"/>
      <c r="E143" s="35" t="s">
        <v>25</v>
      </c>
      <c r="F143" s="36"/>
      <c r="G143" s="158" t="s">
        <v>22</v>
      </c>
      <c r="H143" s="169" t="n">
        <v>17</v>
      </c>
      <c r="I143" s="160" t="n">
        <v>15</v>
      </c>
      <c r="J143" s="160" t="n">
        <v>15</v>
      </c>
      <c r="K143" s="161" t="n">
        <v>17408.56</v>
      </c>
      <c r="L143" s="161" t="n">
        <f aca="false">M143+N143</f>
        <v>14377.92</v>
      </c>
      <c r="M143" s="161" t="n">
        <v>14377.92</v>
      </c>
      <c r="N143" s="190"/>
      <c r="O143" s="163" t="n">
        <v>8</v>
      </c>
      <c r="P143" s="161" t="n">
        <v>30446.34</v>
      </c>
      <c r="Q143" s="161" t="n">
        <f aca="false">R143+S143</f>
        <v>20530.3</v>
      </c>
      <c r="R143" s="161" t="n">
        <v>20530.3</v>
      </c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42" t="s">
        <v>192</v>
      </c>
      <c r="G144" s="164" t="s">
        <v>26</v>
      </c>
      <c r="H144" s="153" t="n">
        <v>5</v>
      </c>
      <c r="I144" s="165" t="n">
        <v>2</v>
      </c>
      <c r="J144" s="165" t="n">
        <v>2</v>
      </c>
      <c r="K144" s="166" t="n">
        <v>7400.4</v>
      </c>
      <c r="L144" s="166" t="n">
        <f aca="false">M144+N144</f>
        <v>3700.2</v>
      </c>
      <c r="M144" s="166" t="n">
        <f aca="false">3700.2</f>
        <v>3700.2</v>
      </c>
      <c r="N144" s="156"/>
      <c r="O144" s="168" t="n">
        <v>4</v>
      </c>
      <c r="P144" s="166" t="n">
        <v>5286</v>
      </c>
      <c r="Q144" s="166" t="n">
        <f aca="false">R144+S144</f>
        <v>8105.2</v>
      </c>
      <c r="R144" s="166" t="n">
        <f aca="false">6519.4</f>
        <v>6519.4</v>
      </c>
      <c r="S144" s="156" t="n">
        <f aca="false">1585.8</f>
        <v>1585.8</v>
      </c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" hidden="false" customHeight="true" outlineLevel="0" collapsed="false">
      <c r="A145" s="17"/>
      <c r="B145" s="18" t="s">
        <v>103</v>
      </c>
      <c r="C145" s="19" t="s">
        <v>20</v>
      </c>
      <c r="D145" s="19"/>
      <c r="E145" s="19" t="s">
        <v>52</v>
      </c>
      <c r="F145" s="20"/>
      <c r="G145" s="146" t="s">
        <v>22</v>
      </c>
      <c r="H145" s="169" t="n">
        <v>2</v>
      </c>
      <c r="I145" s="148" t="n">
        <v>2</v>
      </c>
      <c r="J145" s="148" t="n">
        <v>3</v>
      </c>
      <c r="K145" s="149" t="n">
        <v>8028.11</v>
      </c>
      <c r="L145" s="149" t="n">
        <f aca="false">M145+N145</f>
        <v>8028.11</v>
      </c>
      <c r="M145" s="149" t="n">
        <v>8028.11</v>
      </c>
      <c r="N145" s="190"/>
      <c r="O145" s="151" t="n">
        <v>10</v>
      </c>
      <c r="P145" s="149" t="n">
        <v>77539.9</v>
      </c>
      <c r="Q145" s="149" t="n">
        <f aca="false">R145+S145</f>
        <v>70386.17</v>
      </c>
      <c r="R145" s="149" t="n">
        <v>70386.17</v>
      </c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193</v>
      </c>
      <c r="G146" s="152" t="s">
        <v>26</v>
      </c>
      <c r="H146" s="171" t="n">
        <v>10</v>
      </c>
      <c r="I146" s="154" t="n">
        <v>1</v>
      </c>
      <c r="J146" s="154" t="n">
        <v>1</v>
      </c>
      <c r="K146" s="155" t="n">
        <v>704.8</v>
      </c>
      <c r="L146" s="155" t="n">
        <f aca="false">M146+N146</f>
        <v>2466.8</v>
      </c>
      <c r="M146" s="155"/>
      <c r="N146" s="156" t="n">
        <v>2466.8</v>
      </c>
      <c r="O146" s="157" t="n">
        <v>4</v>
      </c>
      <c r="P146" s="155" t="n">
        <v>10925</v>
      </c>
      <c r="Q146" s="155" t="n">
        <f aca="false">R146+S146</f>
        <v>9867.04</v>
      </c>
      <c r="R146" s="155" t="n">
        <f aca="false">2290.6+528.6</f>
        <v>2819.2</v>
      </c>
      <c r="S146" s="156" t="n">
        <v>7047.84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54"/>
      <c r="B147" s="55" t="s">
        <v>104</v>
      </c>
      <c r="C147" s="56" t="s">
        <v>20</v>
      </c>
      <c r="D147" s="56"/>
      <c r="E147" s="56" t="s">
        <v>25</v>
      </c>
      <c r="F147" s="22"/>
      <c r="G147" s="146" t="s">
        <v>22</v>
      </c>
      <c r="H147" s="169"/>
      <c r="I147" s="160"/>
      <c r="J147" s="160"/>
      <c r="K147" s="161"/>
      <c r="L147" s="161" t="n">
        <f aca="false">M147+N147</f>
        <v>0</v>
      </c>
      <c r="M147" s="161"/>
      <c r="N147" s="190"/>
      <c r="O147" s="163" t="n">
        <v>2</v>
      </c>
      <c r="P147" s="161" t="n">
        <v>20088.08</v>
      </c>
      <c r="Q147" s="161" t="n">
        <f aca="false">R147+S147</f>
        <v>20088.08</v>
      </c>
      <c r="R147" s="161" t="n">
        <v>20088.08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54"/>
      <c r="B148" s="55"/>
      <c r="C148" s="55"/>
      <c r="D148" s="55"/>
      <c r="E148" s="55"/>
      <c r="F148" s="26" t="s">
        <v>281</v>
      </c>
      <c r="G148" s="152" t="s">
        <v>26</v>
      </c>
      <c r="H148" s="153" t="n">
        <v>3</v>
      </c>
      <c r="I148" s="154"/>
      <c r="J148" s="154"/>
      <c r="K148" s="155"/>
      <c r="L148" s="155" t="n">
        <f aca="false">M148+N148</f>
        <v>0</v>
      </c>
      <c r="M148" s="155"/>
      <c r="N148" s="156"/>
      <c r="O148" s="157"/>
      <c r="P148" s="155"/>
      <c r="Q148" s="155" t="n">
        <f aca="false">R148+S148</f>
        <v>0</v>
      </c>
      <c r="R148" s="155"/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33"/>
      <c r="B149" s="34" t="s">
        <v>105</v>
      </c>
      <c r="C149" s="35" t="s">
        <v>33</v>
      </c>
      <c r="D149" s="35" t="s">
        <v>106</v>
      </c>
      <c r="E149" s="35" t="s">
        <v>107</v>
      </c>
      <c r="F149" s="36"/>
      <c r="G149" s="146" t="s">
        <v>22</v>
      </c>
      <c r="H149" s="169" t="n">
        <v>6</v>
      </c>
      <c r="I149" s="160" t="n">
        <v>1</v>
      </c>
      <c r="J149" s="160" t="n">
        <v>1</v>
      </c>
      <c r="K149" s="161" t="n">
        <v>352.4</v>
      </c>
      <c r="L149" s="161" t="n">
        <f aca="false">M149+N149</f>
        <v>352.4</v>
      </c>
      <c r="M149" s="161"/>
      <c r="N149" s="190" t="n">
        <v>352.4</v>
      </c>
      <c r="O149" s="163" t="n">
        <v>10</v>
      </c>
      <c r="P149" s="161" t="n">
        <v>45624.44</v>
      </c>
      <c r="Q149" s="161" t="n">
        <f aca="false">R149+S149</f>
        <v>34610.73</v>
      </c>
      <c r="R149" s="161" t="n">
        <v>18435.62</v>
      </c>
      <c r="S149" s="190" t="n">
        <v>16175.11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33"/>
      <c r="B150" s="34"/>
      <c r="C150" s="34"/>
      <c r="D150" s="34"/>
      <c r="E150" s="34"/>
      <c r="F150" s="42" t="s">
        <v>194</v>
      </c>
      <c r="G150" s="164" t="s">
        <v>26</v>
      </c>
      <c r="H150" s="153" t="n">
        <v>2</v>
      </c>
      <c r="I150" s="165"/>
      <c r="J150" s="165"/>
      <c r="K150" s="166"/>
      <c r="L150" s="161" t="n">
        <f aca="false">M150+N150</f>
        <v>0</v>
      </c>
      <c r="M150" s="166" t="n">
        <v>0</v>
      </c>
      <c r="N150" s="156"/>
      <c r="O150" s="168" t="n">
        <v>6</v>
      </c>
      <c r="P150" s="166" t="n">
        <v>23645.16</v>
      </c>
      <c r="Q150" s="166" t="n">
        <f aca="false">R150+S150</f>
        <v>16536.3</v>
      </c>
      <c r="R150" s="166" t="n">
        <f aca="false">4801.4+881</f>
        <v>5682.4</v>
      </c>
      <c r="S150" s="156" t="n">
        <v>10853.9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72"/>
      <c r="B151" s="73" t="s">
        <v>108</v>
      </c>
      <c r="C151" s="74" t="s">
        <v>33</v>
      </c>
      <c r="D151" s="74" t="s">
        <v>109</v>
      </c>
      <c r="E151" s="74" t="s">
        <v>25</v>
      </c>
      <c r="F151" s="20"/>
      <c r="G151" s="146" t="s">
        <v>22</v>
      </c>
      <c r="H151" s="159" t="n">
        <v>10</v>
      </c>
      <c r="I151" s="148" t="n">
        <v>7</v>
      </c>
      <c r="J151" s="148" t="n">
        <v>8</v>
      </c>
      <c r="K151" s="149" t="n">
        <v>13912.78</v>
      </c>
      <c r="L151" s="149" t="n">
        <f aca="false">M151+N151</f>
        <v>11519.11</v>
      </c>
      <c r="M151" s="149" t="n">
        <v>11519.11</v>
      </c>
      <c r="N151" s="190"/>
      <c r="O151" s="151" t="n">
        <v>20</v>
      </c>
      <c r="P151" s="149" t="n">
        <v>45849.4</v>
      </c>
      <c r="Q151" s="149" t="n">
        <f aca="false">R151+S151</f>
        <v>37928.86</v>
      </c>
      <c r="R151" s="149" t="n">
        <v>37928.86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 t="s">
        <v>195</v>
      </c>
      <c r="G152" s="164" t="s">
        <v>26</v>
      </c>
      <c r="H152" s="171" t="n">
        <v>9</v>
      </c>
      <c r="I152" s="165" t="n">
        <v>6</v>
      </c>
      <c r="J152" s="165" t="n">
        <v>6</v>
      </c>
      <c r="K152" s="166" t="n">
        <v>21743.08</v>
      </c>
      <c r="L152" s="166" t="n">
        <f aca="false">M152+N152</f>
        <v>14448.4</v>
      </c>
      <c r="M152" s="166" t="n">
        <f aca="false">6942.28</f>
        <v>6942.28</v>
      </c>
      <c r="N152" s="156" t="n">
        <f aca="false">7506.12</f>
        <v>7506.12</v>
      </c>
      <c r="O152" s="157" t="n">
        <v>11</v>
      </c>
      <c r="P152" s="155" t="n">
        <v>30218.3</v>
      </c>
      <c r="Q152" s="155" t="n">
        <f aca="false">R152+S152</f>
        <v>38112.06</v>
      </c>
      <c r="R152" s="155" t="n">
        <f aca="false">15329.4+14888.9</f>
        <v>30218.3</v>
      </c>
      <c r="S152" s="156" t="n">
        <v>7893.76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17"/>
      <c r="B153" s="18" t="s">
        <v>110</v>
      </c>
      <c r="C153" s="19" t="s">
        <v>33</v>
      </c>
      <c r="D153" s="19" t="s">
        <v>111</v>
      </c>
      <c r="E153" s="19" t="s">
        <v>25</v>
      </c>
      <c r="F153" s="20"/>
      <c r="G153" s="146" t="s">
        <v>22</v>
      </c>
      <c r="H153" s="159" t="n">
        <v>22</v>
      </c>
      <c r="I153" s="148" t="n">
        <v>19</v>
      </c>
      <c r="J153" s="193" t="n">
        <v>21</v>
      </c>
      <c r="K153" s="149" t="n">
        <v>21281.44</v>
      </c>
      <c r="L153" s="149" t="n">
        <f aca="false">M153+N153</f>
        <v>19498.3</v>
      </c>
      <c r="M153" s="149" t="n">
        <v>16881.73</v>
      </c>
      <c r="N153" s="190" t="n">
        <v>2616.57</v>
      </c>
      <c r="O153" s="163" t="n">
        <v>15</v>
      </c>
      <c r="P153" s="161" t="n">
        <v>58355.79</v>
      </c>
      <c r="Q153" s="161" t="n">
        <f aca="false">R153+S153</f>
        <v>50536.47</v>
      </c>
      <c r="R153" s="161" t="n">
        <v>44245.85</v>
      </c>
      <c r="S153" s="190" t="n">
        <v>6290.62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42" t="s">
        <v>196</v>
      </c>
      <c r="G154" s="164" t="s">
        <v>26</v>
      </c>
      <c r="H154" s="175" t="n">
        <v>4</v>
      </c>
      <c r="I154" s="165" t="n">
        <v>2</v>
      </c>
      <c r="J154" s="165" t="n">
        <v>1</v>
      </c>
      <c r="K154" s="166" t="n">
        <v>4405</v>
      </c>
      <c r="L154" s="166" t="n">
        <f aca="false">M154+N154</f>
        <v>0</v>
      </c>
      <c r="M154" s="166"/>
      <c r="N154" s="167"/>
      <c r="O154" s="168" t="n">
        <v>1</v>
      </c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40" t="s">
        <v>282</v>
      </c>
      <c r="C155" s="19" t="s">
        <v>33</v>
      </c>
      <c r="D155" s="19" t="s">
        <v>283</v>
      </c>
      <c r="E155" s="19" t="s">
        <v>284</v>
      </c>
      <c r="F155" s="20"/>
      <c r="G155" s="146" t="s">
        <v>22</v>
      </c>
      <c r="H155" s="173"/>
      <c r="I155" s="148"/>
      <c r="J155" s="148"/>
      <c r="K155" s="241"/>
      <c r="L155" s="241" t="n">
        <f aca="false">M155+N155</f>
        <v>0</v>
      </c>
      <c r="M155" s="241"/>
      <c r="N155" s="150"/>
      <c r="O155" s="206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40"/>
      <c r="C156" s="19"/>
      <c r="D156" s="19"/>
      <c r="E156" s="19"/>
      <c r="F156" s="26" t="s">
        <v>285</v>
      </c>
      <c r="G156" s="152" t="s">
        <v>23</v>
      </c>
      <c r="H156" s="174" t="n">
        <v>4</v>
      </c>
      <c r="I156" s="154"/>
      <c r="J156" s="154"/>
      <c r="K156" s="242"/>
      <c r="L156" s="242" t="n">
        <f aca="false">M156+N156</f>
        <v>0</v>
      </c>
      <c r="M156" s="242"/>
      <c r="N156" s="156"/>
      <c r="O156" s="209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112</v>
      </c>
      <c r="C157" s="35" t="s">
        <v>20</v>
      </c>
      <c r="D157" s="35" t="s">
        <v>197</v>
      </c>
      <c r="E157" s="35" t="s">
        <v>25</v>
      </c>
      <c r="F157" s="36"/>
      <c r="G157" s="158" t="s">
        <v>22</v>
      </c>
      <c r="H157" s="159" t="n">
        <v>16</v>
      </c>
      <c r="I157" s="160" t="n">
        <v>16</v>
      </c>
      <c r="J157" s="160" t="n">
        <v>23</v>
      </c>
      <c r="K157" s="140" t="n">
        <v>60508.61</v>
      </c>
      <c r="L157" s="140" t="n">
        <f aca="false">M157+N157</f>
        <v>37636.31</v>
      </c>
      <c r="M157" s="140" t="n">
        <v>23292.74</v>
      </c>
      <c r="N157" s="190" t="n">
        <v>14343.57</v>
      </c>
      <c r="O157" s="163" t="n">
        <v>6</v>
      </c>
      <c r="P157" s="161" t="n">
        <v>25421.03</v>
      </c>
      <c r="Q157" s="161" t="n">
        <f aca="false">R157+S157</f>
        <v>20244.62</v>
      </c>
      <c r="R157" s="161" t="n">
        <v>20244.62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26" t="s">
        <v>198</v>
      </c>
      <c r="G158" s="152" t="s">
        <v>26</v>
      </c>
      <c r="H158" s="171" t="n">
        <v>3</v>
      </c>
      <c r="I158" s="165"/>
      <c r="J158" s="165" t="n">
        <v>1</v>
      </c>
      <c r="K158" s="166" t="n">
        <v>1762</v>
      </c>
      <c r="L158" s="166" t="n">
        <f aca="false">M158+N158</f>
        <v>1321.5</v>
      </c>
      <c r="M158" s="166"/>
      <c r="N158" s="156" t="n">
        <v>1321.5</v>
      </c>
      <c r="O158" s="168" t="n">
        <v>2</v>
      </c>
      <c r="P158" s="166" t="n">
        <v>2114.4</v>
      </c>
      <c r="Q158" s="166" t="n">
        <f aca="false">R158+S158</f>
        <v>2114.4</v>
      </c>
      <c r="R158" s="166" t="n">
        <f aca="false">2114.4</f>
        <v>2114.4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17"/>
      <c r="B159" s="18" t="s">
        <v>113</v>
      </c>
      <c r="C159" s="19" t="s">
        <v>20</v>
      </c>
      <c r="D159" s="19"/>
      <c r="E159" s="19" t="s">
        <v>31</v>
      </c>
      <c r="F159" s="36"/>
      <c r="G159" s="146" t="s">
        <v>22</v>
      </c>
      <c r="H159" s="159" t="n">
        <v>14</v>
      </c>
      <c r="I159" s="148" t="n">
        <v>9</v>
      </c>
      <c r="J159" s="148" t="n">
        <v>12</v>
      </c>
      <c r="K159" s="149" t="n">
        <v>25824.49</v>
      </c>
      <c r="L159" s="149" t="n">
        <f aca="false">M159+N159</f>
        <v>14995.78</v>
      </c>
      <c r="M159" s="149" t="n">
        <v>12303.8</v>
      </c>
      <c r="N159" s="190" t="n">
        <v>2691.98</v>
      </c>
      <c r="O159" s="151" t="n">
        <v>8</v>
      </c>
      <c r="P159" s="149" t="n">
        <v>18834.43</v>
      </c>
      <c r="Q159" s="149" t="n">
        <f aca="false">R159+S159</f>
        <v>18834.43</v>
      </c>
      <c r="R159" s="149" t="n">
        <v>9035.03</v>
      </c>
      <c r="S159" s="190" t="n">
        <v>9799.4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57"/>
      <c r="G160" s="152" t="s">
        <v>26</v>
      </c>
      <c r="H160" s="153"/>
      <c r="I160" s="154"/>
      <c r="J160" s="154"/>
      <c r="K160" s="155"/>
      <c r="L160" s="155" t="n">
        <f aca="false">M160+N160</f>
        <v>0</v>
      </c>
      <c r="M160" s="155"/>
      <c r="N160" s="156"/>
      <c r="O160" s="157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33"/>
      <c r="B161" s="34" t="s">
        <v>114</v>
      </c>
      <c r="C161" s="35" t="s">
        <v>20</v>
      </c>
      <c r="D161" s="95"/>
      <c r="E161" s="35" t="s">
        <v>25</v>
      </c>
      <c r="F161" s="71"/>
      <c r="G161" s="146" t="s">
        <v>22</v>
      </c>
      <c r="H161" s="169" t="n">
        <v>2</v>
      </c>
      <c r="I161" s="160"/>
      <c r="J161" s="160"/>
      <c r="K161" s="161"/>
      <c r="L161" s="161" t="n">
        <f aca="false">M161+N161</f>
        <v>0</v>
      </c>
      <c r="M161" s="161"/>
      <c r="N161" s="190"/>
      <c r="O161" s="163" t="n">
        <v>3</v>
      </c>
      <c r="P161" s="161" t="n">
        <v>4574.09</v>
      </c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 t="s">
        <v>274</v>
      </c>
      <c r="G162" s="164" t="s">
        <v>26</v>
      </c>
      <c r="H162" s="175" t="n">
        <v>4</v>
      </c>
      <c r="I162" s="165" t="n">
        <v>3</v>
      </c>
      <c r="J162" s="165" t="n">
        <v>3</v>
      </c>
      <c r="K162" s="166" t="n">
        <v>4075.22</v>
      </c>
      <c r="L162" s="166" t="n">
        <f aca="false">M162+N162</f>
        <v>1127.68</v>
      </c>
      <c r="M162" s="166"/>
      <c r="N162" s="156" t="n">
        <f aca="false">1127.68</f>
        <v>1127.68</v>
      </c>
      <c r="O162" s="168"/>
      <c r="P162" s="166"/>
      <c r="Q162" s="166" t="n">
        <f aca="false">R162+S162</f>
        <v>0</v>
      </c>
      <c r="R162" s="166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18" t="s">
        <v>243</v>
      </c>
      <c r="C163" s="219"/>
      <c r="D163" s="19"/>
      <c r="E163" s="19"/>
      <c r="F163" s="20"/>
      <c r="G163" s="146" t="s">
        <v>22</v>
      </c>
      <c r="H163" s="173" t="n">
        <v>3</v>
      </c>
      <c r="I163" s="148" t="n">
        <v>2</v>
      </c>
      <c r="J163" s="148" t="n">
        <v>2</v>
      </c>
      <c r="K163" s="149" t="n">
        <v>4062.29</v>
      </c>
      <c r="L163" s="149" t="n">
        <f aca="false">M163+N163</f>
        <v>4062.29</v>
      </c>
      <c r="M163" s="149"/>
      <c r="N163" s="190" t="n">
        <v>4062.29</v>
      </c>
      <c r="O163" s="206"/>
      <c r="P163" s="149"/>
      <c r="Q163" s="149" t="n">
        <f aca="false">R163+S163</f>
        <v>0</v>
      </c>
      <c r="R163" s="149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 t="s">
        <v>275</v>
      </c>
      <c r="G164" s="152" t="s">
        <v>26</v>
      </c>
      <c r="H164" s="174" t="n">
        <v>4</v>
      </c>
      <c r="I164" s="154" t="n">
        <v>1</v>
      </c>
      <c r="J164" s="154" t="n">
        <v>1</v>
      </c>
      <c r="K164" s="155" t="n">
        <v>528.6</v>
      </c>
      <c r="L164" s="155" t="n">
        <f aca="false">M164+N164</f>
        <v>3476.14</v>
      </c>
      <c r="M164" s="155" t="n">
        <f aca="false">3476.14</f>
        <v>3476.14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54"/>
      <c r="B165" s="55" t="s">
        <v>200</v>
      </c>
      <c r="C165" s="220"/>
      <c r="D165" s="56"/>
      <c r="E165" s="56"/>
      <c r="F165" s="36"/>
      <c r="G165" s="158" t="s">
        <v>22</v>
      </c>
      <c r="H165" s="159" t="n">
        <v>22</v>
      </c>
      <c r="I165" s="160" t="n">
        <v>19</v>
      </c>
      <c r="J165" s="160" t="n">
        <v>20</v>
      </c>
      <c r="K165" s="161" t="n">
        <v>22458.11</v>
      </c>
      <c r="L165" s="161" t="n">
        <f aca="false">M165+N165</f>
        <v>22458.11</v>
      </c>
      <c r="M165" s="161" t="n">
        <v>14018.13</v>
      </c>
      <c r="N165" s="190" t="n">
        <v>8439.98</v>
      </c>
      <c r="O165" s="163"/>
      <c r="P165" s="161"/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54"/>
      <c r="B166" s="55"/>
      <c r="C166" s="55"/>
      <c r="D166" s="55"/>
      <c r="E166" s="55"/>
      <c r="F166" s="57"/>
      <c r="G166" s="152" t="s">
        <v>26</v>
      </c>
      <c r="H166" s="174" t="n">
        <v>4</v>
      </c>
      <c r="I166" s="154" t="n">
        <v>3</v>
      </c>
      <c r="J166" s="154" t="n">
        <v>3</v>
      </c>
      <c r="K166" s="155" t="n">
        <v>4757.4</v>
      </c>
      <c r="L166" s="155" t="n">
        <f aca="false">M166+N166</f>
        <v>7224.2</v>
      </c>
      <c r="M166" s="155" t="n">
        <f aca="false">4757.4</f>
        <v>4757.4</v>
      </c>
      <c r="N166" s="156" t="n">
        <f aca="false">2466.8</f>
        <v>2466.8</v>
      </c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 t="s">
        <v>115</v>
      </c>
      <c r="C167" s="56" t="s">
        <v>20</v>
      </c>
      <c r="D167" s="56"/>
      <c r="E167" s="56" t="s">
        <v>116</v>
      </c>
      <c r="F167" s="36"/>
      <c r="G167" s="158" t="s">
        <v>22</v>
      </c>
      <c r="H167" s="159" t="n">
        <v>15</v>
      </c>
      <c r="I167" s="160" t="n">
        <v>14</v>
      </c>
      <c r="J167" s="160" t="n">
        <v>15</v>
      </c>
      <c r="K167" s="161" t="n">
        <v>12404.22</v>
      </c>
      <c r="L167" s="161" t="n">
        <f aca="false">M167+N167</f>
        <v>9503.97</v>
      </c>
      <c r="M167" s="161" t="n">
        <v>6070.98</v>
      </c>
      <c r="N167" s="190" t="n">
        <v>3432.99</v>
      </c>
      <c r="O167" s="163" t="n">
        <v>17</v>
      </c>
      <c r="P167" s="161" t="n">
        <v>40160.31</v>
      </c>
      <c r="Q167" s="161" t="n">
        <f aca="false">R167+S167</f>
        <v>38497.86</v>
      </c>
      <c r="R167" s="161" t="n">
        <v>22208.41</v>
      </c>
      <c r="S167" s="190" t="n">
        <v>16289.45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54"/>
      <c r="B168" s="55"/>
      <c r="C168" s="55"/>
      <c r="D168" s="55"/>
      <c r="E168" s="55"/>
      <c r="F168" s="42" t="s">
        <v>201</v>
      </c>
      <c r="G168" s="164" t="s">
        <v>26</v>
      </c>
      <c r="H168" s="172" t="n">
        <v>9</v>
      </c>
      <c r="I168" s="165" t="n">
        <v>4</v>
      </c>
      <c r="J168" s="165" t="n">
        <v>4</v>
      </c>
      <c r="K168" s="166" t="n">
        <v>8915.72</v>
      </c>
      <c r="L168" s="161" t="n">
        <f aca="false">M168+N168</f>
        <v>1585.8</v>
      </c>
      <c r="M168" s="166" t="n">
        <v>1585.8</v>
      </c>
      <c r="N168" s="156"/>
      <c r="O168" s="168" t="n">
        <v>8</v>
      </c>
      <c r="P168" s="166" t="n">
        <v>881</v>
      </c>
      <c r="Q168" s="166" t="n">
        <f aca="false">R168+S168</f>
        <v>5286</v>
      </c>
      <c r="R168" s="166" t="n">
        <f aca="false">881+2114.4+2290.6</f>
        <v>5286</v>
      </c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17"/>
      <c r="B169" s="18" t="s">
        <v>157</v>
      </c>
      <c r="C169" s="19"/>
      <c r="D169" s="19"/>
      <c r="E169" s="127"/>
      <c r="F169" s="22"/>
      <c r="G169" s="146" t="s">
        <v>22</v>
      </c>
      <c r="H169" s="147" t="n">
        <v>10</v>
      </c>
      <c r="I169" s="148" t="n">
        <v>5</v>
      </c>
      <c r="J169" s="148" t="n">
        <v>6</v>
      </c>
      <c r="K169" s="149" t="n">
        <v>11119.33</v>
      </c>
      <c r="L169" s="149" t="n">
        <f aca="false">M169+N169</f>
        <v>9520.31</v>
      </c>
      <c r="M169" s="149" t="n">
        <v>3876.4</v>
      </c>
      <c r="N169" s="190" t="n">
        <v>5643.91</v>
      </c>
      <c r="O169" s="151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false" outlineLevel="0" collapsed="false">
      <c r="A170" s="17"/>
      <c r="B170" s="18"/>
      <c r="C170" s="18"/>
      <c r="D170" s="18"/>
      <c r="E170" s="127"/>
      <c r="F170" s="26" t="s">
        <v>202</v>
      </c>
      <c r="G170" s="152" t="s">
        <v>26</v>
      </c>
      <c r="H170" s="176" t="n">
        <v>2</v>
      </c>
      <c r="I170" s="154"/>
      <c r="J170" s="154"/>
      <c r="K170" s="155"/>
      <c r="L170" s="155" t="n">
        <f aca="false">M170+N170</f>
        <v>0</v>
      </c>
      <c r="M170" s="155"/>
      <c r="N170" s="156"/>
      <c r="O170" s="157" t="n">
        <v>2</v>
      </c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true" outlineLevel="0" collapsed="false">
      <c r="A171" s="33"/>
      <c r="B171" s="34" t="s">
        <v>117</v>
      </c>
      <c r="C171" s="35" t="s">
        <v>33</v>
      </c>
      <c r="D171" s="35" t="s">
        <v>118</v>
      </c>
      <c r="E171" s="74" t="s">
        <v>25</v>
      </c>
      <c r="F171" s="89"/>
      <c r="G171" s="158" t="s">
        <v>22</v>
      </c>
      <c r="H171" s="169"/>
      <c r="I171" s="160"/>
      <c r="J171" s="160"/>
      <c r="K171" s="161"/>
      <c r="L171" s="161" t="n">
        <f aca="false">M171+N171</f>
        <v>0</v>
      </c>
      <c r="M171" s="161"/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false" outlineLevel="0" collapsed="false">
      <c r="A172" s="33"/>
      <c r="B172" s="34"/>
      <c r="C172" s="34"/>
      <c r="D172" s="34"/>
      <c r="E172" s="34"/>
      <c r="F172" s="42"/>
      <c r="G172" s="158" t="s">
        <v>23</v>
      </c>
      <c r="H172" s="169"/>
      <c r="I172" s="160"/>
      <c r="J172" s="160"/>
      <c r="K172" s="161"/>
      <c r="L172" s="161" t="n">
        <f aca="false">M172+N172</f>
        <v>0</v>
      </c>
      <c r="M172" s="161"/>
      <c r="N172" s="167"/>
      <c r="O172" s="163" t="n">
        <v>2</v>
      </c>
      <c r="P172" s="161" t="n">
        <v>1762</v>
      </c>
      <c r="Q172" s="161" t="n">
        <v>1762</v>
      </c>
      <c r="R172" s="161" t="n">
        <v>1762</v>
      </c>
      <c r="S172" s="167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33"/>
      <c r="B173" s="34"/>
      <c r="C173" s="34"/>
      <c r="D173" s="34"/>
      <c r="E173" s="34"/>
      <c r="F173" s="42"/>
      <c r="G173" s="164" t="s">
        <v>26</v>
      </c>
      <c r="H173" s="153"/>
      <c r="I173" s="165"/>
      <c r="J173" s="165"/>
      <c r="K173" s="166"/>
      <c r="L173" s="166" t="n">
        <f aca="false">M173+N173</f>
        <v>0</v>
      </c>
      <c r="M173" s="166"/>
      <c r="N173" s="156"/>
      <c r="O173" s="168" t="n">
        <v>7</v>
      </c>
      <c r="P173" s="166" t="n">
        <v>4845.5</v>
      </c>
      <c r="Q173" s="166" t="n">
        <f aca="false">R173+S173</f>
        <v>5902.7</v>
      </c>
      <c r="R173" s="166" t="n">
        <f aca="false">1762+1278.41</f>
        <v>3040.41</v>
      </c>
      <c r="S173" s="156" t="n">
        <v>2862.29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119</v>
      </c>
      <c r="C174" s="19" t="s">
        <v>20</v>
      </c>
      <c r="D174" s="19"/>
      <c r="E174" s="19" t="s">
        <v>25</v>
      </c>
      <c r="F174" s="20"/>
      <c r="G174" s="146" t="s">
        <v>22</v>
      </c>
      <c r="H174" s="169"/>
      <c r="I174" s="148"/>
      <c r="J174" s="148"/>
      <c r="K174" s="149"/>
      <c r="L174" s="149" t="n">
        <f aca="false">M174+N174</f>
        <v>0</v>
      </c>
      <c r="M174" s="149"/>
      <c r="N174" s="190"/>
      <c r="O174" s="151" t="n">
        <v>2</v>
      </c>
      <c r="P174" s="149" t="n">
        <v>2643</v>
      </c>
      <c r="Q174" s="149" t="n">
        <f aca="false">R174+S174</f>
        <v>2643</v>
      </c>
      <c r="R174" s="149" t="n">
        <v>2643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42" t="s">
        <v>203</v>
      </c>
      <c r="G175" s="164" t="s">
        <v>26</v>
      </c>
      <c r="H175" s="175" t="n">
        <v>4</v>
      </c>
      <c r="I175" s="165" t="n">
        <v>2</v>
      </c>
      <c r="J175" s="165" t="n">
        <v>2</v>
      </c>
      <c r="K175" s="166" t="n">
        <v>1233.4</v>
      </c>
      <c r="L175" s="166" t="n">
        <f aca="false">M175+N175</f>
        <v>1812.59</v>
      </c>
      <c r="M175" s="166" t="n">
        <f aca="false">704.8</f>
        <v>704.8</v>
      </c>
      <c r="N175" s="156" t="n">
        <f aca="false">1107.79</f>
        <v>1107.79</v>
      </c>
      <c r="O175" s="168" t="n">
        <v>3</v>
      </c>
      <c r="P175" s="166" t="n">
        <v>7576.6</v>
      </c>
      <c r="Q175" s="166" t="n">
        <f aca="false">R175+S175</f>
        <v>11226.21</v>
      </c>
      <c r="R175" s="166" t="n">
        <f aca="false">7349.81+50.59</f>
        <v>7400.4</v>
      </c>
      <c r="S175" s="156" t="n">
        <v>3825.81</v>
      </c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17"/>
      <c r="B176" s="18" t="s">
        <v>225</v>
      </c>
      <c r="C176" s="19"/>
      <c r="D176" s="19"/>
      <c r="E176" s="19"/>
      <c r="F176" s="20"/>
      <c r="G176" s="146" t="s">
        <v>22</v>
      </c>
      <c r="H176" s="147"/>
      <c r="I176" s="148"/>
      <c r="J176" s="148"/>
      <c r="K176" s="149"/>
      <c r="L176" s="149" t="n">
        <f aca="false">M176+N176</f>
        <v>0</v>
      </c>
      <c r="M176" s="149"/>
      <c r="N176" s="190"/>
      <c r="O176" s="151"/>
      <c r="P176" s="149"/>
      <c r="Q176" s="149" t="n">
        <f aca="false">R176+S176</f>
        <v>0</v>
      </c>
      <c r="R176" s="149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17"/>
      <c r="B177" s="18"/>
      <c r="C177" s="18"/>
      <c r="D177" s="18"/>
      <c r="E177" s="18"/>
      <c r="F177" s="26" t="s">
        <v>244</v>
      </c>
      <c r="G177" s="152" t="s">
        <v>23</v>
      </c>
      <c r="H177" s="176" t="n">
        <v>16</v>
      </c>
      <c r="I177" s="154" t="n">
        <v>4</v>
      </c>
      <c r="J177" s="154" t="n">
        <v>4</v>
      </c>
      <c r="K177" s="155" t="n">
        <v>3567.8</v>
      </c>
      <c r="L177" s="155" t="n">
        <v>2863</v>
      </c>
      <c r="M177" s="155" t="n">
        <v>2863</v>
      </c>
      <c r="N177" s="156"/>
      <c r="O177" s="157"/>
      <c r="P177" s="155"/>
      <c r="Q177" s="155" t="n">
        <f aca="false">R177+S177</f>
        <v>0</v>
      </c>
      <c r="R177" s="155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54"/>
      <c r="B178" s="55" t="s">
        <v>120</v>
      </c>
      <c r="C178" s="56" t="s">
        <v>20</v>
      </c>
      <c r="D178" s="56"/>
      <c r="E178" s="56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3</v>
      </c>
      <c r="P178" s="161" t="n">
        <v>3063.78</v>
      </c>
      <c r="Q178" s="161" t="n">
        <f aca="false">R178+S178</f>
        <v>3063.78</v>
      </c>
      <c r="R178" s="161" t="n">
        <v>3063.78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54"/>
      <c r="B179" s="55"/>
      <c r="C179" s="55"/>
      <c r="D179" s="55"/>
      <c r="E179" s="55"/>
      <c r="F179" s="71"/>
      <c r="G179" s="164" t="s">
        <v>26</v>
      </c>
      <c r="H179" s="175"/>
      <c r="I179" s="165"/>
      <c r="J179" s="165"/>
      <c r="K179" s="166"/>
      <c r="L179" s="166" t="n">
        <f aca="false">M179+N179</f>
        <v>0</v>
      </c>
      <c r="M179" s="166"/>
      <c r="N179" s="156"/>
      <c r="O179" s="168"/>
      <c r="P179" s="166"/>
      <c r="Q179" s="166" t="n">
        <f aca="false">R179+S179</f>
        <v>0</v>
      </c>
      <c r="R179" s="166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72"/>
      <c r="B180" s="18" t="s">
        <v>158</v>
      </c>
      <c r="C180" s="74"/>
      <c r="D180" s="56" t="s">
        <v>204</v>
      </c>
      <c r="E180" s="74"/>
      <c r="F180" s="53"/>
      <c r="G180" s="146" t="s">
        <v>22</v>
      </c>
      <c r="H180" s="195"/>
      <c r="I180" s="196"/>
      <c r="J180" s="196"/>
      <c r="K180" s="197"/>
      <c r="L180" s="197" t="n">
        <f aca="false">M180+N180</f>
        <v>0</v>
      </c>
      <c r="M180" s="197"/>
      <c r="N180" s="190"/>
      <c r="O180" s="199"/>
      <c r="P180" s="197"/>
      <c r="Q180" s="197" t="n">
        <f aca="false">R180+S180</f>
        <v>0</v>
      </c>
      <c r="R180" s="197"/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54"/>
      <c r="B181" s="18"/>
      <c r="C181" s="56"/>
      <c r="D181" s="56"/>
      <c r="E181" s="56"/>
      <c r="F181" s="138" t="s">
        <v>205</v>
      </c>
      <c r="G181" s="152" t="s">
        <v>26</v>
      </c>
      <c r="H181" s="153" t="n">
        <v>4</v>
      </c>
      <c r="I181" s="200" t="n">
        <v>2</v>
      </c>
      <c r="J181" s="200" t="n">
        <v>2</v>
      </c>
      <c r="K181" s="201" t="n">
        <v>3524</v>
      </c>
      <c r="L181" s="201" t="n">
        <f aca="false">M181+N181</f>
        <v>0</v>
      </c>
      <c r="M181" s="201"/>
      <c r="N181" s="156"/>
      <c r="O181" s="203"/>
      <c r="P181" s="201"/>
      <c r="Q181" s="201" t="n">
        <f aca="false">R181+S181</f>
        <v>0</v>
      </c>
      <c r="R181" s="201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33"/>
      <c r="B182" s="34" t="s">
        <v>152</v>
      </c>
      <c r="C182" s="35" t="s">
        <v>20</v>
      </c>
      <c r="D182" s="35"/>
      <c r="E182" s="35" t="s">
        <v>25</v>
      </c>
      <c r="F182" s="36"/>
      <c r="G182" s="158" t="s">
        <v>22</v>
      </c>
      <c r="H182" s="169"/>
      <c r="I182" s="160"/>
      <c r="J182" s="160"/>
      <c r="K182" s="161"/>
      <c r="L182" s="161" t="n">
        <f aca="false">M182+N182</f>
        <v>0</v>
      </c>
      <c r="M182" s="161"/>
      <c r="N182" s="190"/>
      <c r="O182" s="163" t="n">
        <v>4</v>
      </c>
      <c r="P182" s="161" t="n">
        <v>7400.4</v>
      </c>
      <c r="Q182" s="161" t="n">
        <f aca="false">R182+S182</f>
        <v>7400.4</v>
      </c>
      <c r="R182" s="161" t="n">
        <v>7400.4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206</v>
      </c>
      <c r="G183" s="164" t="s">
        <v>26</v>
      </c>
      <c r="H183" s="171" t="n">
        <v>4</v>
      </c>
      <c r="I183" s="165"/>
      <c r="J183" s="165" t="n">
        <v>1</v>
      </c>
      <c r="K183" s="166" t="n">
        <v>704.8</v>
      </c>
      <c r="L183" s="166" t="n">
        <v>0</v>
      </c>
      <c r="M183" s="166" t="n">
        <v>0</v>
      </c>
      <c r="N183" s="156" t="n">
        <f aca="false">4228.8</f>
        <v>4228.8</v>
      </c>
      <c r="O183" s="168" t="n">
        <v>6</v>
      </c>
      <c r="P183" s="166" t="n">
        <v>7048</v>
      </c>
      <c r="Q183" s="161" t="n">
        <f aca="false">R183+S183</f>
        <v>12950.7</v>
      </c>
      <c r="R183" s="166" t="n">
        <f aca="false">2731.1+4228.8</f>
        <v>6959.9</v>
      </c>
      <c r="S183" s="156" t="n">
        <f aca="false">5990.8</f>
        <v>5990.8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122</v>
      </c>
      <c r="C184" s="19" t="s">
        <v>20</v>
      </c>
      <c r="D184" s="19"/>
      <c r="E184" s="19" t="s">
        <v>116</v>
      </c>
      <c r="F184" s="20"/>
      <c r="G184" s="146" t="s">
        <v>22</v>
      </c>
      <c r="H184" s="159" t="n">
        <v>30</v>
      </c>
      <c r="I184" s="148" t="n">
        <v>27</v>
      </c>
      <c r="J184" s="148" t="n">
        <v>37</v>
      </c>
      <c r="K184" s="149" t="n">
        <v>59889.05</v>
      </c>
      <c r="L184" s="149" t="n">
        <f aca="false">M184+N184</f>
        <v>51516.04</v>
      </c>
      <c r="M184" s="149" t="n">
        <v>32759.12</v>
      </c>
      <c r="N184" s="190" t="n">
        <v>18756.92</v>
      </c>
      <c r="O184" s="151" t="n">
        <v>31</v>
      </c>
      <c r="P184" s="149" t="n">
        <v>112720.04</v>
      </c>
      <c r="Q184" s="149" t="n">
        <f aca="false">R184+S184</f>
        <v>96577.15</v>
      </c>
      <c r="R184" s="149" t="n">
        <v>61568.09</v>
      </c>
      <c r="S184" s="190" t="n">
        <v>35009.06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57"/>
      <c r="G185" s="152" t="s">
        <v>26</v>
      </c>
      <c r="H185" s="153"/>
      <c r="I185" s="154"/>
      <c r="J185" s="154"/>
      <c r="K185" s="155"/>
      <c r="L185" s="155" t="n">
        <f aca="false">M185+N185</f>
        <v>0</v>
      </c>
      <c r="M185" s="155"/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123</v>
      </c>
      <c r="C186" s="35" t="s">
        <v>20</v>
      </c>
      <c r="D186" s="35"/>
      <c r="E186" s="35" t="s">
        <v>25</v>
      </c>
      <c r="F186" s="36"/>
      <c r="G186" s="146" t="s">
        <v>22</v>
      </c>
      <c r="H186" s="159" t="n">
        <v>5</v>
      </c>
      <c r="I186" s="160" t="n">
        <v>4</v>
      </c>
      <c r="J186" s="160" t="n">
        <v>4</v>
      </c>
      <c r="K186" s="161" t="n">
        <v>4193.56</v>
      </c>
      <c r="L186" s="161" t="n">
        <f aca="false">M186+N186</f>
        <v>2255.36</v>
      </c>
      <c r="M186" s="161" t="n">
        <v>2255.36</v>
      </c>
      <c r="N186" s="190"/>
      <c r="O186" s="163" t="n">
        <v>6</v>
      </c>
      <c r="P186" s="161" t="n">
        <v>10868.41</v>
      </c>
      <c r="Q186" s="161" t="n">
        <f aca="false">R186+S186</f>
        <v>10868.41</v>
      </c>
      <c r="R186" s="161" t="n">
        <v>10868.41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207</v>
      </c>
      <c r="G187" s="164" t="s">
        <v>26</v>
      </c>
      <c r="H187" s="153" t="n">
        <v>3</v>
      </c>
      <c r="I187" s="165"/>
      <c r="J187" s="165"/>
      <c r="K187" s="166"/>
      <c r="L187" s="161" t="n">
        <f aca="false">M187+N187</f>
        <v>0</v>
      </c>
      <c r="M187" s="166" t="n">
        <v>0</v>
      </c>
      <c r="N187" s="156"/>
      <c r="O187" s="168" t="n">
        <v>1</v>
      </c>
      <c r="P187" s="166"/>
      <c r="Q187" s="166" t="n">
        <f aca="false">R187+S187</f>
        <v>881</v>
      </c>
      <c r="R187" s="166" t="n">
        <f aca="false">881</f>
        <v>881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17"/>
      <c r="B188" s="18" t="s">
        <v>124</v>
      </c>
      <c r="C188" s="19" t="s">
        <v>20</v>
      </c>
      <c r="D188" s="19"/>
      <c r="E188" s="19" t="s">
        <v>88</v>
      </c>
      <c r="F188" s="20"/>
      <c r="G188" s="146" t="s">
        <v>22</v>
      </c>
      <c r="H188" s="159" t="n">
        <v>13</v>
      </c>
      <c r="I188" s="148" t="n">
        <v>10</v>
      </c>
      <c r="J188" s="148" t="n">
        <v>11</v>
      </c>
      <c r="K188" s="149" t="n">
        <v>21896.56</v>
      </c>
      <c r="L188" s="149" t="n">
        <f aca="false">M188+N188</f>
        <v>5959.27</v>
      </c>
      <c r="M188" s="149" t="n">
        <v>5959.27</v>
      </c>
      <c r="N188" s="190"/>
      <c r="O188" s="151" t="n">
        <v>9</v>
      </c>
      <c r="P188" s="149" t="n">
        <v>21526.95</v>
      </c>
      <c r="Q188" s="149" t="n">
        <f aca="false">R188+S188</f>
        <v>19070.72</v>
      </c>
      <c r="R188" s="149" t="n">
        <v>19070.72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42" t="s">
        <v>245</v>
      </c>
      <c r="G189" s="164" t="s">
        <v>23</v>
      </c>
      <c r="H189" s="172" t="n">
        <v>9</v>
      </c>
      <c r="I189" s="165" t="n">
        <v>2</v>
      </c>
      <c r="J189" s="165" t="n">
        <v>2</v>
      </c>
      <c r="K189" s="166" t="n">
        <v>925.05</v>
      </c>
      <c r="L189" s="166" t="n">
        <v>0</v>
      </c>
      <c r="M189" s="166"/>
      <c r="N189" s="156"/>
      <c r="O189" s="168" t="n">
        <v>6</v>
      </c>
      <c r="P189" s="166" t="n">
        <v>9061.9</v>
      </c>
      <c r="Q189" s="166" t="n">
        <v>8092.8</v>
      </c>
      <c r="R189" s="166" t="n">
        <v>8092.8</v>
      </c>
      <c r="S189" s="156" t="n">
        <v>969.1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208</v>
      </c>
      <c r="C190" s="19"/>
      <c r="D190" s="19"/>
      <c r="E190" s="127"/>
      <c r="F190" s="20"/>
      <c r="G190" s="146" t="s">
        <v>22</v>
      </c>
      <c r="H190" s="173" t="n">
        <v>29</v>
      </c>
      <c r="I190" s="148" t="n">
        <v>25</v>
      </c>
      <c r="J190" s="148" t="n">
        <v>25</v>
      </c>
      <c r="K190" s="149" t="n">
        <v>31863.12</v>
      </c>
      <c r="L190" s="149" t="n">
        <f aca="false">M190+N190</f>
        <v>30664.96</v>
      </c>
      <c r="M190" s="149" t="n">
        <v>22735.25</v>
      </c>
      <c r="N190" s="190" t="n">
        <v>7929.71</v>
      </c>
      <c r="O190" s="151"/>
      <c r="P190" s="149"/>
      <c r="Q190" s="149" t="n">
        <f aca="false">R190+S190</f>
        <v>0</v>
      </c>
      <c r="R190" s="149"/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28"/>
      <c r="F191" s="26" t="s">
        <v>246</v>
      </c>
      <c r="G191" s="152" t="s">
        <v>23</v>
      </c>
      <c r="H191" s="174" t="n">
        <v>10</v>
      </c>
      <c r="I191" s="154" t="n">
        <v>3</v>
      </c>
      <c r="J191" s="154" t="n">
        <v>3</v>
      </c>
      <c r="K191" s="155" t="n">
        <v>1938.2</v>
      </c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125</v>
      </c>
      <c r="C192" s="35" t="s">
        <v>33</v>
      </c>
      <c r="D192" s="35" t="s">
        <v>126</v>
      </c>
      <c r="E192" s="35" t="s">
        <v>127</v>
      </c>
      <c r="F192" s="36"/>
      <c r="G192" s="158" t="s">
        <v>22</v>
      </c>
      <c r="H192" s="159" t="n">
        <v>11</v>
      </c>
      <c r="I192" s="160" t="n">
        <v>8</v>
      </c>
      <c r="J192" s="160" t="n">
        <v>10</v>
      </c>
      <c r="K192" s="161" t="n">
        <v>29800.18</v>
      </c>
      <c r="L192" s="161" t="n">
        <f aca="false">M192+N192</f>
        <v>7126.5</v>
      </c>
      <c r="M192" s="161" t="n">
        <v>7126.5</v>
      </c>
      <c r="N192" s="190"/>
      <c r="O192" s="163" t="n">
        <v>14</v>
      </c>
      <c r="P192" s="161" t="n">
        <v>33154.57</v>
      </c>
      <c r="Q192" s="161" t="n">
        <f aca="false">R192+S192</f>
        <v>32035.95</v>
      </c>
      <c r="R192" s="161" t="n">
        <v>32035.95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/>
      <c r="G193" s="164" t="s">
        <v>23</v>
      </c>
      <c r="H193" s="171" t="n">
        <v>31</v>
      </c>
      <c r="I193" s="165" t="n">
        <v>20</v>
      </c>
      <c r="J193" s="165" t="n">
        <v>20</v>
      </c>
      <c r="K193" s="166" t="n">
        <v>44931</v>
      </c>
      <c r="L193" s="166" t="n">
        <v>5109.8</v>
      </c>
      <c r="M193" s="166" t="n">
        <v>5109.8</v>
      </c>
      <c r="N193" s="156" t="n">
        <v>704.8</v>
      </c>
      <c r="O193" s="168" t="n">
        <v>19</v>
      </c>
      <c r="P193" s="166" t="n">
        <v>45189.9</v>
      </c>
      <c r="Q193" s="166" t="n">
        <v>29425.12</v>
      </c>
      <c r="R193" s="166" t="n">
        <v>29425.12</v>
      </c>
      <c r="S193" s="156" t="n">
        <v>1607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" hidden="false" customHeight="true" outlineLevel="0" collapsed="false">
      <c r="A194" s="17"/>
      <c r="B194" s="18" t="s">
        <v>128</v>
      </c>
      <c r="C194" s="19" t="s">
        <v>20</v>
      </c>
      <c r="D194" s="19"/>
      <c r="E194" s="19" t="s">
        <v>25</v>
      </c>
      <c r="F194" s="20"/>
      <c r="G194" s="146" t="s">
        <v>22</v>
      </c>
      <c r="H194" s="159" t="n">
        <v>20</v>
      </c>
      <c r="I194" s="148" t="n">
        <v>11</v>
      </c>
      <c r="J194" s="148" t="n">
        <v>12</v>
      </c>
      <c r="K194" s="149" t="n">
        <v>13365.9</v>
      </c>
      <c r="L194" s="149" t="n">
        <f aca="false">M194+N194</f>
        <v>10868.49</v>
      </c>
      <c r="M194" s="149" t="n">
        <v>10868.49</v>
      </c>
      <c r="N194" s="190"/>
      <c r="O194" s="151" t="n">
        <v>24</v>
      </c>
      <c r="P194" s="149" t="n">
        <v>42740.26</v>
      </c>
      <c r="Q194" s="149" t="n">
        <f aca="false">R194+S194</f>
        <v>42740.26</v>
      </c>
      <c r="R194" s="149" t="n">
        <v>42740.26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71"/>
      <c r="G195" s="164" t="s">
        <v>26</v>
      </c>
      <c r="H195" s="175"/>
      <c r="I195" s="165"/>
      <c r="J195" s="165"/>
      <c r="K195" s="166"/>
      <c r="L195" s="166" t="n">
        <f aca="false">M195+N195</f>
        <v>0</v>
      </c>
      <c r="M195" s="166"/>
      <c r="N195" s="156"/>
      <c r="O195" s="168"/>
      <c r="P195" s="166"/>
      <c r="Q195" s="166" t="n">
        <f aca="false">R195+S195</f>
        <v>0</v>
      </c>
      <c r="R195" s="166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227</v>
      </c>
      <c r="C196" s="19"/>
      <c r="D196" s="19"/>
      <c r="E196" s="19"/>
      <c r="F196" s="20"/>
      <c r="G196" s="204" t="s">
        <v>22</v>
      </c>
      <c r="H196" s="173" t="n">
        <v>4</v>
      </c>
      <c r="I196" s="148" t="n">
        <v>1</v>
      </c>
      <c r="J196" s="148" t="n">
        <v>1</v>
      </c>
      <c r="K196" s="149" t="n">
        <v>621.99</v>
      </c>
      <c r="L196" s="149" t="n">
        <f aca="false">M196+N196</f>
        <v>0</v>
      </c>
      <c r="M196" s="149"/>
      <c r="N196" s="190"/>
      <c r="O196" s="206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57"/>
      <c r="G197" s="207" t="s">
        <v>26</v>
      </c>
      <c r="H197" s="174"/>
      <c r="I197" s="154"/>
      <c r="J197" s="154"/>
      <c r="K197" s="155"/>
      <c r="L197" s="155" t="n">
        <f aca="false">M197+N197</f>
        <v>0</v>
      </c>
      <c r="M197" s="155"/>
      <c r="N197" s="156"/>
      <c r="O197" s="209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129</v>
      </c>
      <c r="C198" s="35" t="s">
        <v>38</v>
      </c>
      <c r="D198" s="35" t="s">
        <v>130</v>
      </c>
      <c r="E198" s="35" t="s">
        <v>25</v>
      </c>
      <c r="F198" s="36"/>
      <c r="G198" s="158" t="s">
        <v>22</v>
      </c>
      <c r="H198" s="159" t="n">
        <v>11</v>
      </c>
      <c r="I198" s="160" t="n">
        <v>10</v>
      </c>
      <c r="J198" s="160" t="n">
        <v>10</v>
      </c>
      <c r="K198" s="161" t="n">
        <v>8519.19</v>
      </c>
      <c r="L198" s="161" t="n">
        <f aca="false">M198+N198</f>
        <v>5680.61</v>
      </c>
      <c r="M198" s="161" t="n">
        <v>5680.61</v>
      </c>
      <c r="N198" s="190"/>
      <c r="O198" s="163" t="n">
        <v>5</v>
      </c>
      <c r="P198" s="161" t="n">
        <v>66458.37</v>
      </c>
      <c r="Q198" s="161" t="n">
        <f aca="false">R198+S198</f>
        <v>44463.45</v>
      </c>
      <c r="R198" s="161" t="n">
        <v>44463.45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 t="s">
        <v>209</v>
      </c>
      <c r="G199" s="164" t="s">
        <v>26</v>
      </c>
      <c r="H199" s="153" t="n">
        <v>5</v>
      </c>
      <c r="I199" s="165" t="n">
        <v>1</v>
      </c>
      <c r="J199" s="165" t="n">
        <v>1</v>
      </c>
      <c r="K199" s="166" t="n">
        <v>1762</v>
      </c>
      <c r="L199" s="161" t="n">
        <f aca="false">M199+N199</f>
        <v>1762</v>
      </c>
      <c r="M199" s="166" t="n">
        <v>0</v>
      </c>
      <c r="N199" s="156" t="n">
        <v>1762</v>
      </c>
      <c r="O199" s="168" t="n">
        <v>7</v>
      </c>
      <c r="P199" s="166" t="n">
        <v>20590.6</v>
      </c>
      <c r="Q199" s="166" t="n">
        <f aca="false">R199+S199</f>
        <v>22040.1</v>
      </c>
      <c r="R199" s="166" t="n">
        <f aca="false">881+881+14612.2+1409.5</f>
        <v>17783.7</v>
      </c>
      <c r="S199" s="167" t="n">
        <f aca="false">4256.4</f>
        <v>4256.4</v>
      </c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17"/>
      <c r="B200" s="18" t="s">
        <v>131</v>
      </c>
      <c r="C200" s="19" t="s">
        <v>38</v>
      </c>
      <c r="D200" s="19" t="s">
        <v>130</v>
      </c>
      <c r="E200" s="19" t="s">
        <v>25</v>
      </c>
      <c r="F200" s="20"/>
      <c r="G200" s="146" t="s">
        <v>22</v>
      </c>
      <c r="H200" s="159" t="n">
        <v>10</v>
      </c>
      <c r="I200" s="148" t="n">
        <v>8</v>
      </c>
      <c r="J200" s="148" t="n">
        <v>13</v>
      </c>
      <c r="K200" s="149" t="n">
        <v>31320.86</v>
      </c>
      <c r="L200" s="149" t="n">
        <f aca="false">M200+N200</f>
        <v>25996.1</v>
      </c>
      <c r="M200" s="149" t="n">
        <v>25996.1</v>
      </c>
      <c r="N200" s="190"/>
      <c r="O200" s="151" t="n">
        <v>16</v>
      </c>
      <c r="P200" s="149" t="n">
        <v>159038.28</v>
      </c>
      <c r="Q200" s="149" t="n">
        <f aca="false">R200+S200</f>
        <v>58274.05</v>
      </c>
      <c r="R200" s="149" t="n">
        <v>58274.05</v>
      </c>
      <c r="S200" s="198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17"/>
      <c r="B201" s="18"/>
      <c r="C201" s="18"/>
      <c r="D201" s="18"/>
      <c r="E201" s="18"/>
      <c r="F201" s="26" t="s">
        <v>210</v>
      </c>
      <c r="G201" s="152" t="s">
        <v>26</v>
      </c>
      <c r="H201" s="153" t="n">
        <v>4</v>
      </c>
      <c r="I201" s="154" t="n">
        <v>3</v>
      </c>
      <c r="J201" s="154" t="n">
        <v>3</v>
      </c>
      <c r="K201" s="155" t="n">
        <v>2114.4</v>
      </c>
      <c r="L201" s="155" t="n">
        <f aca="false">M201+N201</f>
        <v>2114.4</v>
      </c>
      <c r="M201" s="155" t="n">
        <f aca="false">1585.8</f>
        <v>1585.8</v>
      </c>
      <c r="N201" s="156" t="n">
        <v>528.6</v>
      </c>
      <c r="O201" s="157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33"/>
      <c r="B202" s="34" t="s">
        <v>132</v>
      </c>
      <c r="C202" s="35" t="s">
        <v>20</v>
      </c>
      <c r="D202" s="35"/>
      <c r="E202" s="35" t="s">
        <v>69</v>
      </c>
      <c r="F202" s="38"/>
      <c r="G202" s="146" t="s">
        <v>22</v>
      </c>
      <c r="H202" s="159" t="n">
        <v>12</v>
      </c>
      <c r="I202" s="160" t="n">
        <v>7</v>
      </c>
      <c r="J202" s="160" t="n">
        <v>11</v>
      </c>
      <c r="K202" s="161" t="n">
        <v>23368.97</v>
      </c>
      <c r="L202" s="161" t="n">
        <f aca="false">M202+N202</f>
        <v>23368.97</v>
      </c>
      <c r="M202" s="161" t="n">
        <v>23368.97</v>
      </c>
      <c r="N202" s="190"/>
      <c r="O202" s="163" t="n">
        <v>13</v>
      </c>
      <c r="P202" s="161" t="n">
        <v>43004.3</v>
      </c>
      <c r="Q202" s="161" t="n">
        <f aca="false">R202+S202</f>
        <v>39943.71</v>
      </c>
      <c r="R202" s="161" t="n">
        <v>28827.93</v>
      </c>
      <c r="S202" s="190" t="n">
        <v>11115.78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33"/>
      <c r="B203" s="34"/>
      <c r="C203" s="34"/>
      <c r="D203" s="34"/>
      <c r="E203" s="34"/>
      <c r="F203" s="42" t="s">
        <v>211</v>
      </c>
      <c r="G203" s="164" t="s">
        <v>26</v>
      </c>
      <c r="H203" s="153" t="n">
        <v>8</v>
      </c>
      <c r="I203" s="165" t="n">
        <v>3</v>
      </c>
      <c r="J203" s="165" t="n">
        <v>3</v>
      </c>
      <c r="K203" s="166" t="n">
        <v>10184.36</v>
      </c>
      <c r="L203" s="166" t="n">
        <f aca="false">M203+N203</f>
        <v>0</v>
      </c>
      <c r="M203" s="166"/>
      <c r="N203" s="156"/>
      <c r="O203" s="168" t="n">
        <v>1</v>
      </c>
      <c r="P203" s="166" t="n">
        <v>3700.2</v>
      </c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72"/>
      <c r="B204" s="73" t="s">
        <v>133</v>
      </c>
      <c r="C204" s="74" t="s">
        <v>20</v>
      </c>
      <c r="D204" s="74"/>
      <c r="E204" s="74" t="s">
        <v>25</v>
      </c>
      <c r="F204" s="22"/>
      <c r="G204" s="146" t="s">
        <v>22</v>
      </c>
      <c r="H204" s="159" t="n">
        <v>4</v>
      </c>
      <c r="I204" s="148" t="n">
        <v>4</v>
      </c>
      <c r="J204" s="148" t="n">
        <v>5</v>
      </c>
      <c r="K204" s="149" t="n">
        <v>7984.73</v>
      </c>
      <c r="L204" s="149" t="n">
        <f aca="false">M204+N204</f>
        <v>7984.73</v>
      </c>
      <c r="M204" s="149" t="n">
        <v>2784.03</v>
      </c>
      <c r="N204" s="190" t="n">
        <v>5200.7</v>
      </c>
      <c r="O204" s="151" t="n">
        <v>2</v>
      </c>
      <c r="P204" s="149" t="n">
        <v>4329.79</v>
      </c>
      <c r="Q204" s="149" t="n">
        <f aca="false">R204+S204</f>
        <v>4329.79</v>
      </c>
      <c r="R204" s="149" t="n">
        <v>4329.79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72"/>
      <c r="B205" s="73"/>
      <c r="C205" s="73"/>
      <c r="D205" s="73"/>
      <c r="E205" s="73"/>
      <c r="F205" s="42" t="s">
        <v>212</v>
      </c>
      <c r="G205" s="164" t="s">
        <v>26</v>
      </c>
      <c r="H205" s="171" t="n">
        <v>4</v>
      </c>
      <c r="I205" s="165" t="n">
        <v>1</v>
      </c>
      <c r="J205" s="165" t="n">
        <v>1</v>
      </c>
      <c r="K205" s="166" t="n">
        <v>1409.6</v>
      </c>
      <c r="L205" s="166" t="n">
        <f aca="false">M205+N205</f>
        <v>1409.6</v>
      </c>
      <c r="M205" s="166" t="n">
        <f aca="false">1409.6</f>
        <v>1409.6</v>
      </c>
      <c r="N205" s="156"/>
      <c r="O205" s="168" t="n">
        <v>2</v>
      </c>
      <c r="P205" s="166" t="n">
        <v>1321.5</v>
      </c>
      <c r="Q205" s="166" t="n">
        <f aca="false">R205+S205</f>
        <v>2907.3</v>
      </c>
      <c r="R205" s="166" t="n">
        <f aca="false">1321.5</f>
        <v>1321.5</v>
      </c>
      <c r="S205" s="156" t="n">
        <v>1585.8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72"/>
      <c r="B206" s="73" t="s">
        <v>134</v>
      </c>
      <c r="C206" s="74" t="s">
        <v>20</v>
      </c>
      <c r="D206" s="74"/>
      <c r="E206" s="74" t="s">
        <v>25</v>
      </c>
      <c r="F206" s="20"/>
      <c r="G206" s="146" t="s">
        <v>22</v>
      </c>
      <c r="H206" s="169"/>
      <c r="I206" s="148"/>
      <c r="J206" s="148"/>
      <c r="K206" s="149"/>
      <c r="L206" s="149" t="n">
        <f aca="false">M206+N206</f>
        <v>0</v>
      </c>
      <c r="M206" s="149"/>
      <c r="N206" s="190"/>
      <c r="O206" s="151" t="n">
        <v>1</v>
      </c>
      <c r="P206" s="149" t="n">
        <v>13019.26</v>
      </c>
      <c r="Q206" s="149" t="n">
        <f aca="false">R206+S206</f>
        <v>13019.26</v>
      </c>
      <c r="R206" s="149" t="n">
        <v>13019.26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72"/>
      <c r="B207" s="73"/>
      <c r="C207" s="73"/>
      <c r="D207" s="73"/>
      <c r="E207" s="73"/>
      <c r="F207" s="42" t="s">
        <v>213</v>
      </c>
      <c r="G207" s="164" t="s">
        <v>26</v>
      </c>
      <c r="H207" s="153" t="n">
        <v>3</v>
      </c>
      <c r="I207" s="165"/>
      <c r="J207" s="165"/>
      <c r="K207" s="166"/>
      <c r="L207" s="166" t="n">
        <f aca="false">M207+N207</f>
        <v>0</v>
      </c>
      <c r="M207" s="166"/>
      <c r="N207" s="156"/>
      <c r="O207" s="168" t="n">
        <v>5</v>
      </c>
      <c r="P207" s="166" t="n">
        <v>23840.15</v>
      </c>
      <c r="Q207" s="166" t="n">
        <f aca="false">R207+S207</f>
        <v>28509.42</v>
      </c>
      <c r="R207" s="166" t="n">
        <f aca="false">19875.62</f>
        <v>19875.62</v>
      </c>
      <c r="S207" s="156" t="n">
        <f aca="false">8633.8</f>
        <v>8633.8</v>
      </c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" hidden="false" customHeight="true" outlineLevel="0" collapsed="false">
      <c r="A208" s="17"/>
      <c r="B208" s="18" t="s">
        <v>135</v>
      </c>
      <c r="C208" s="19" t="s">
        <v>20</v>
      </c>
      <c r="D208" s="19"/>
      <c r="E208" s="19" t="s">
        <v>69</v>
      </c>
      <c r="F208" s="22"/>
      <c r="G208" s="146" t="s">
        <v>22</v>
      </c>
      <c r="H208" s="159" t="n">
        <v>13</v>
      </c>
      <c r="I208" s="148" t="n">
        <v>5</v>
      </c>
      <c r="J208" s="148" t="n">
        <v>6</v>
      </c>
      <c r="K208" s="149" t="n">
        <v>11463.36</v>
      </c>
      <c r="L208" s="149" t="n">
        <f aca="false">M208+N208</f>
        <v>5321.24</v>
      </c>
      <c r="M208" s="149" t="n">
        <v>4158.32</v>
      </c>
      <c r="N208" s="190" t="n">
        <v>1162.92</v>
      </c>
      <c r="O208" s="151" t="n">
        <v>13</v>
      </c>
      <c r="P208" s="149" t="n">
        <v>42132.95</v>
      </c>
      <c r="Q208" s="149" t="n">
        <f aca="false">R208+S208</f>
        <v>42132.95</v>
      </c>
      <c r="R208" s="149" t="n">
        <v>16446.2</v>
      </c>
      <c r="S208" s="190" t="n">
        <v>25686.75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 t="s">
        <v>277</v>
      </c>
      <c r="G209" s="152" t="s">
        <v>26</v>
      </c>
      <c r="H209" s="171" t="n">
        <v>6</v>
      </c>
      <c r="I209" s="154"/>
      <c r="J209" s="154" t="n">
        <v>2</v>
      </c>
      <c r="K209" s="155" t="n">
        <v>1409.6</v>
      </c>
      <c r="L209" s="155" t="n">
        <f aca="false">M209+N209</f>
        <v>0</v>
      </c>
      <c r="M209" s="155"/>
      <c r="N209" s="156"/>
      <c r="O209" s="157" t="n">
        <v>2</v>
      </c>
      <c r="P209" s="155" t="n">
        <v>2292.9</v>
      </c>
      <c r="Q209" s="155" t="n">
        <f aca="false">R209+S209</f>
        <v>792.9</v>
      </c>
      <c r="R209" s="155" t="n">
        <f aca="false">792.9</f>
        <v>792.9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33"/>
      <c r="B210" s="34" t="s">
        <v>136</v>
      </c>
      <c r="C210" s="35" t="s">
        <v>20</v>
      </c>
      <c r="D210" s="35"/>
      <c r="E210" s="35" t="s">
        <v>98</v>
      </c>
      <c r="F210" s="36"/>
      <c r="G210" s="146" t="s">
        <v>22</v>
      </c>
      <c r="H210" s="159" t="n">
        <v>21</v>
      </c>
      <c r="I210" s="160" t="n">
        <v>14</v>
      </c>
      <c r="J210" s="160" t="n">
        <v>21</v>
      </c>
      <c r="K210" s="161" t="n">
        <v>39745.81</v>
      </c>
      <c r="L210" s="161" t="n">
        <f aca="false">M210+N210</f>
        <v>27069.8</v>
      </c>
      <c r="M210" s="161" t="n">
        <v>20218.61</v>
      </c>
      <c r="N210" s="190" t="n">
        <v>6851.19</v>
      </c>
      <c r="O210" s="163" t="n">
        <v>11</v>
      </c>
      <c r="P210" s="161" t="n">
        <v>23371.27</v>
      </c>
      <c r="Q210" s="161" t="n">
        <f aca="false">R210+S210</f>
        <v>14877.54</v>
      </c>
      <c r="R210" s="161" t="n">
        <v>14877.54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247</v>
      </c>
      <c r="G211" s="164" t="s">
        <v>23</v>
      </c>
      <c r="H211" s="171" t="n">
        <v>6</v>
      </c>
      <c r="I211" s="165" t="n">
        <v>6</v>
      </c>
      <c r="J211" s="165" t="n">
        <v>6</v>
      </c>
      <c r="K211" s="166" t="n">
        <v>4581.2</v>
      </c>
      <c r="L211" s="166" t="n">
        <f aca="false">M211+N211</f>
        <v>4052.6</v>
      </c>
      <c r="M211" s="166" t="n">
        <v>4052.6</v>
      </c>
      <c r="N211" s="156"/>
      <c r="O211" s="168" t="n">
        <v>8</v>
      </c>
      <c r="P211" s="166" t="n">
        <v>15505.6</v>
      </c>
      <c r="Q211" s="166" t="n">
        <v>5638.4</v>
      </c>
      <c r="R211" s="166" t="n">
        <v>5638.4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137</v>
      </c>
      <c r="C212" s="19" t="s">
        <v>20</v>
      </c>
      <c r="D212" s="19"/>
      <c r="E212" s="19" t="s">
        <v>25</v>
      </c>
      <c r="F212" s="20"/>
      <c r="G212" s="146" t="s">
        <v>22</v>
      </c>
      <c r="H212" s="169"/>
      <c r="I212" s="148"/>
      <c r="J212" s="148"/>
      <c r="K212" s="149"/>
      <c r="L212" s="149" t="n">
        <f aca="false">M212+N212</f>
        <v>0</v>
      </c>
      <c r="M212" s="149"/>
      <c r="N212" s="190"/>
      <c r="O212" s="151"/>
      <c r="P212" s="149"/>
      <c r="Q212" s="149" t="n">
        <f aca="false">R212+S212</f>
        <v>0</v>
      </c>
      <c r="R212" s="149"/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20.25" hidden="false" customHeight="true" outlineLevel="0" collapsed="false">
      <c r="A213" s="17"/>
      <c r="B213" s="18"/>
      <c r="C213" s="18"/>
      <c r="D213" s="18"/>
      <c r="E213" s="18"/>
      <c r="F213" s="26" t="s">
        <v>286</v>
      </c>
      <c r="G213" s="152" t="s">
        <v>26</v>
      </c>
      <c r="H213" s="153" t="n">
        <v>9</v>
      </c>
      <c r="I213" s="154" t="n">
        <v>1</v>
      </c>
      <c r="J213" s="154" t="n">
        <v>1</v>
      </c>
      <c r="K213" s="155" t="n">
        <v>1938.2</v>
      </c>
      <c r="L213" s="155" t="n">
        <f aca="false">M213+N213</f>
        <v>0</v>
      </c>
      <c r="M213" s="155"/>
      <c r="N213" s="156"/>
      <c r="O213" s="157"/>
      <c r="P213" s="155"/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138</v>
      </c>
      <c r="C214" s="56" t="s">
        <v>33</v>
      </c>
      <c r="D214" s="56" t="s">
        <v>139</v>
      </c>
      <c r="E214" s="56" t="s">
        <v>25</v>
      </c>
      <c r="F214" s="36"/>
      <c r="G214" s="146" t="s">
        <v>22</v>
      </c>
      <c r="H214" s="169"/>
      <c r="I214" s="160"/>
      <c r="J214" s="160"/>
      <c r="K214" s="161"/>
      <c r="L214" s="161" t="n">
        <f aca="false">M214+N214</f>
        <v>0</v>
      </c>
      <c r="M214" s="161"/>
      <c r="N214" s="190"/>
      <c r="O214" s="163"/>
      <c r="P214" s="161"/>
      <c r="Q214" s="161" t="n">
        <f aca="false">R214+S214</f>
        <v>0</v>
      </c>
      <c r="R214" s="161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214</v>
      </c>
      <c r="G215" s="152" t="s">
        <v>26</v>
      </c>
      <c r="H215" s="171" t="n">
        <v>5</v>
      </c>
      <c r="I215" s="154" t="n">
        <v>2</v>
      </c>
      <c r="J215" s="154" t="n">
        <v>2</v>
      </c>
      <c r="K215" s="155" t="n">
        <v>4158.32</v>
      </c>
      <c r="L215" s="155" t="n">
        <f aca="false">M215+N215</f>
        <v>4158.32</v>
      </c>
      <c r="M215" s="155" t="n">
        <f aca="false">2466.8</f>
        <v>2466.8</v>
      </c>
      <c r="N215" s="156" t="n">
        <f aca="false">1691.52</f>
        <v>1691.52</v>
      </c>
      <c r="O215" s="157"/>
      <c r="P215" s="155"/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33"/>
      <c r="B216" s="34" t="s">
        <v>140</v>
      </c>
      <c r="C216" s="35" t="s">
        <v>20</v>
      </c>
      <c r="D216" s="35"/>
      <c r="E216" s="35" t="s">
        <v>141</v>
      </c>
      <c r="F216" s="36"/>
      <c r="G216" s="146" t="s">
        <v>22</v>
      </c>
      <c r="H216" s="159" t="n">
        <v>15</v>
      </c>
      <c r="I216" s="160" t="n">
        <v>13</v>
      </c>
      <c r="J216" s="160" t="n">
        <v>17</v>
      </c>
      <c r="K216" s="161" t="n">
        <v>22437.75</v>
      </c>
      <c r="L216" s="161" t="n">
        <f aca="false">M216+N216</f>
        <v>16759.36</v>
      </c>
      <c r="M216" s="161" t="n">
        <v>13067.09</v>
      </c>
      <c r="N216" s="190" t="n">
        <v>3692.27</v>
      </c>
      <c r="O216" s="163" t="n">
        <v>11</v>
      </c>
      <c r="P216" s="161" t="n">
        <v>65251.23</v>
      </c>
      <c r="Q216" s="161" t="n">
        <f aca="false">R216+S216</f>
        <v>65251.23</v>
      </c>
      <c r="R216" s="161" t="n">
        <v>24064.99</v>
      </c>
      <c r="S216" s="190" t="n">
        <v>41186.24</v>
      </c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42" t="s">
        <v>215</v>
      </c>
      <c r="G217" s="164" t="s">
        <v>26</v>
      </c>
      <c r="H217" s="175" t="n">
        <v>2</v>
      </c>
      <c r="I217" s="165"/>
      <c r="J217" s="165"/>
      <c r="K217" s="166"/>
      <c r="L217" s="166" t="n">
        <f aca="false">M217+N217</f>
        <v>0</v>
      </c>
      <c r="M217" s="166"/>
      <c r="N217" s="156"/>
      <c r="O217" s="168"/>
      <c r="P217" s="166"/>
      <c r="Q217" s="166" t="n">
        <f aca="false">R217+S217</f>
        <v>0</v>
      </c>
      <c r="R217" s="166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251</v>
      </c>
      <c r="C218" s="19" t="s">
        <v>20</v>
      </c>
      <c r="D218" s="19"/>
      <c r="E218" s="19" t="s">
        <v>116</v>
      </c>
      <c r="F218" s="20"/>
      <c r="G218" s="146" t="s">
        <v>22</v>
      </c>
      <c r="H218" s="173" t="n">
        <v>5</v>
      </c>
      <c r="I218" s="148" t="n">
        <v>3</v>
      </c>
      <c r="J218" s="148" t="n">
        <v>3</v>
      </c>
      <c r="K218" s="149" t="n">
        <v>3851.92</v>
      </c>
      <c r="L218" s="166" t="n">
        <f aca="false">M218+N218</f>
        <v>3851.92</v>
      </c>
      <c r="M218" s="149"/>
      <c r="N218" s="190" t="n">
        <v>3851.92</v>
      </c>
      <c r="O218" s="206"/>
      <c r="P218" s="149"/>
      <c r="Q218" s="149"/>
      <c r="R218" s="149"/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252</v>
      </c>
      <c r="G219" s="152" t="s">
        <v>26</v>
      </c>
      <c r="H219" s="174" t="n">
        <v>7</v>
      </c>
      <c r="I219" s="154"/>
      <c r="J219" s="154"/>
      <c r="K219" s="155"/>
      <c r="L219" s="166" t="n">
        <f aca="false">M219+N219</f>
        <v>0</v>
      </c>
      <c r="M219" s="155"/>
      <c r="N219" s="156"/>
      <c r="O219" s="209"/>
      <c r="P219" s="155"/>
      <c r="Q219" s="155"/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54"/>
      <c r="B220" s="55" t="s">
        <v>142</v>
      </c>
      <c r="C220" s="56" t="s">
        <v>20</v>
      </c>
      <c r="D220" s="56"/>
      <c r="E220" s="56" t="s">
        <v>25</v>
      </c>
      <c r="F220" s="36"/>
      <c r="G220" s="158" t="s">
        <v>22</v>
      </c>
      <c r="H220" s="173" t="n">
        <v>4</v>
      </c>
      <c r="I220" s="148" t="n">
        <v>4</v>
      </c>
      <c r="J220" s="148" t="n">
        <v>4</v>
      </c>
      <c r="K220" s="149" t="n">
        <v>3418.28</v>
      </c>
      <c r="L220" s="149" t="n">
        <f aca="false">M220+N220</f>
        <v>3418.28</v>
      </c>
      <c r="M220" s="149" t="n">
        <v>1656.28</v>
      </c>
      <c r="N220" s="190" t="n">
        <v>1762</v>
      </c>
      <c r="O220" s="228" t="n">
        <v>6</v>
      </c>
      <c r="P220" s="161" t="n">
        <v>10969.43</v>
      </c>
      <c r="Q220" s="161" t="n">
        <f aca="false">R220+S220</f>
        <v>8844.46</v>
      </c>
      <c r="R220" s="161" t="n">
        <v>3342.51</v>
      </c>
      <c r="S220" s="190" t="n">
        <v>5501.95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54"/>
      <c r="B221" s="55"/>
      <c r="C221" s="55"/>
      <c r="D221" s="55"/>
      <c r="E221" s="55"/>
      <c r="F221" s="42" t="s">
        <v>216</v>
      </c>
      <c r="G221" s="164" t="s">
        <v>26</v>
      </c>
      <c r="H221" s="177" t="n">
        <v>7</v>
      </c>
      <c r="I221" s="165" t="n">
        <v>3</v>
      </c>
      <c r="J221" s="165" t="n">
        <v>3</v>
      </c>
      <c r="K221" s="166" t="n">
        <v>5990.8</v>
      </c>
      <c r="L221" s="166" t="n">
        <f aca="false">M221+N221</f>
        <v>5990.8</v>
      </c>
      <c r="M221" s="166" t="n">
        <v>5167.21</v>
      </c>
      <c r="N221" s="167" t="n">
        <v>823.59</v>
      </c>
      <c r="O221" s="238" t="n">
        <v>12</v>
      </c>
      <c r="P221" s="166" t="n">
        <v>7343.2</v>
      </c>
      <c r="Q221" s="166" t="n">
        <f aca="false">R221+S221</f>
        <v>8633.8</v>
      </c>
      <c r="R221" s="166" t="n">
        <f aca="false">823.59+1233.4+2819.2</f>
        <v>4876.19</v>
      </c>
      <c r="S221" s="167" t="n">
        <f aca="false">3757.61</f>
        <v>3757.61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287</v>
      </c>
      <c r="C222" s="56" t="s">
        <v>20</v>
      </c>
      <c r="D222" s="19"/>
      <c r="E222" s="56" t="s">
        <v>25</v>
      </c>
      <c r="F222" s="20"/>
      <c r="G222" s="146" t="s">
        <v>22</v>
      </c>
      <c r="H222" s="147"/>
      <c r="I222" s="148"/>
      <c r="J222" s="148"/>
      <c r="K222" s="149"/>
      <c r="L222" s="149" t="n">
        <f aca="false">M222+N222</f>
        <v>0</v>
      </c>
      <c r="M222" s="149"/>
      <c r="N222" s="150"/>
      <c r="O222" s="206"/>
      <c r="P222" s="149"/>
      <c r="Q222" s="149" t="n">
        <f aca="false">R222+S222</f>
        <v>0</v>
      </c>
      <c r="R222" s="149"/>
      <c r="S222" s="15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288</v>
      </c>
      <c r="G223" s="152" t="s">
        <v>26</v>
      </c>
      <c r="H223" s="176" t="n">
        <v>3</v>
      </c>
      <c r="I223" s="154" t="n">
        <v>3</v>
      </c>
      <c r="J223" s="154" t="n">
        <v>3</v>
      </c>
      <c r="K223" s="155" t="n">
        <v>3171.6</v>
      </c>
      <c r="L223" s="155" t="n">
        <f aca="false">M223+N223</f>
        <v>3171.6</v>
      </c>
      <c r="M223" s="155"/>
      <c r="N223" s="156" t="n">
        <f aca="false">3171.6</f>
        <v>3171.6</v>
      </c>
      <c r="O223" s="209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33"/>
      <c r="B224" s="34" t="s">
        <v>143</v>
      </c>
      <c r="C224" s="35" t="s">
        <v>20</v>
      </c>
      <c r="D224" s="35"/>
      <c r="E224" s="35" t="s">
        <v>25</v>
      </c>
      <c r="F224" s="36"/>
      <c r="G224" s="158" t="s">
        <v>22</v>
      </c>
      <c r="H224" s="169" t="n">
        <v>1</v>
      </c>
      <c r="I224" s="160"/>
      <c r="J224" s="160"/>
      <c r="K224" s="161"/>
      <c r="L224" s="161" t="n">
        <f aca="false">M224+N224</f>
        <v>0</v>
      </c>
      <c r="M224" s="161"/>
      <c r="N224" s="190"/>
      <c r="O224" s="163" t="n">
        <v>1</v>
      </c>
      <c r="P224" s="161" t="n">
        <v>1515.67</v>
      </c>
      <c r="Q224" s="161" t="n">
        <f aca="false">R224+S224</f>
        <v>1515.67</v>
      </c>
      <c r="R224" s="161" t="n">
        <v>1515.67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217</v>
      </c>
      <c r="G225" s="164" t="s">
        <v>26</v>
      </c>
      <c r="H225" s="171" t="n">
        <v>7</v>
      </c>
      <c r="I225" s="165"/>
      <c r="J225" s="165"/>
      <c r="K225" s="166"/>
      <c r="L225" s="166" t="n">
        <f aca="false">M225+N225</f>
        <v>704.8</v>
      </c>
      <c r="M225" s="166" t="n">
        <f aca="false">704.8</f>
        <v>704.8</v>
      </c>
      <c r="N225" s="156"/>
      <c r="O225" s="168" t="n">
        <v>6</v>
      </c>
      <c r="P225" s="166" t="n">
        <v>34775.2</v>
      </c>
      <c r="Q225" s="166" t="n">
        <f aca="false">R225+S225</f>
        <v>21496.4</v>
      </c>
      <c r="R225" s="166" t="n">
        <f aca="false">704.8+13038.8</f>
        <v>13743.6</v>
      </c>
      <c r="S225" s="156" t="n">
        <v>7752.8</v>
      </c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144</v>
      </c>
      <c r="C226" s="19" t="s">
        <v>20</v>
      </c>
      <c r="D226" s="19"/>
      <c r="E226" s="19" t="s">
        <v>81</v>
      </c>
      <c r="F226" s="20"/>
      <c r="G226" s="146" t="s">
        <v>22</v>
      </c>
      <c r="H226" s="159" t="n">
        <v>11</v>
      </c>
      <c r="I226" s="148" t="n">
        <v>7</v>
      </c>
      <c r="J226" s="148" t="n">
        <v>7</v>
      </c>
      <c r="K226" s="149" t="n">
        <v>6542.31</v>
      </c>
      <c r="L226" s="149" t="n">
        <f aca="false">M226+N226</f>
        <v>7588.94</v>
      </c>
      <c r="M226" s="149" t="n">
        <v>2096.78</v>
      </c>
      <c r="N226" s="190" t="n">
        <v>5492.16</v>
      </c>
      <c r="O226" s="151" t="n">
        <v>5</v>
      </c>
      <c r="P226" s="149" t="n">
        <v>16284.3</v>
      </c>
      <c r="Q226" s="149" t="n">
        <f aca="false">R226+S226</f>
        <v>16284.3</v>
      </c>
      <c r="R226" s="149" t="n">
        <v>3636.77</v>
      </c>
      <c r="S226" s="190" t="n">
        <v>12647.53</v>
      </c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218</v>
      </c>
      <c r="G227" s="152" t="s">
        <v>26</v>
      </c>
      <c r="H227" s="171" t="n">
        <v>6</v>
      </c>
      <c r="I227" s="154" t="n">
        <v>2</v>
      </c>
      <c r="J227" s="154" t="n">
        <v>2</v>
      </c>
      <c r="K227" s="155" t="n">
        <v>4052.6</v>
      </c>
      <c r="L227" s="155" t="n">
        <f aca="false">M227+N227</f>
        <v>4052.6</v>
      </c>
      <c r="M227" s="155" t="n">
        <f aca="false">4052.6</f>
        <v>4052.6</v>
      </c>
      <c r="N227" s="156"/>
      <c r="O227" s="157" t="n">
        <v>2</v>
      </c>
      <c r="P227" s="155" t="n">
        <v>4493.1</v>
      </c>
      <c r="Q227" s="155" t="n">
        <f aca="false">R227+S227</f>
        <v>4493.1</v>
      </c>
      <c r="R227" s="155" t="n">
        <f aca="false">4493.1</f>
        <v>4493.1</v>
      </c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34" t="s">
        <v>145</v>
      </c>
      <c r="C228" s="35" t="s">
        <v>20</v>
      </c>
      <c r="D228" s="35"/>
      <c r="E228" s="35" t="s">
        <v>98</v>
      </c>
      <c r="F228" s="36"/>
      <c r="G228" s="146" t="s">
        <v>22</v>
      </c>
      <c r="H228" s="169"/>
      <c r="I228" s="160"/>
      <c r="J228" s="160"/>
      <c r="K228" s="161"/>
      <c r="L228" s="161" t="n">
        <f aca="false">M228+N228</f>
        <v>0</v>
      </c>
      <c r="M228" s="161"/>
      <c r="N228" s="190"/>
      <c r="O228" s="163"/>
      <c r="P228" s="161"/>
      <c r="Q228" s="161" t="n">
        <f aca="false">R228+S228</f>
        <v>0</v>
      </c>
      <c r="R228" s="161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34"/>
      <c r="C229" s="34"/>
      <c r="D229" s="34"/>
      <c r="E229" s="34"/>
      <c r="F229" s="71"/>
      <c r="G229" s="164" t="s">
        <v>23</v>
      </c>
      <c r="H229" s="175"/>
      <c r="I229" s="165"/>
      <c r="J229" s="165"/>
      <c r="K229" s="166"/>
      <c r="L229" s="166" t="n">
        <f aca="false">M229+N229</f>
        <v>0</v>
      </c>
      <c r="M229" s="166"/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17"/>
      <c r="B230" s="18" t="s">
        <v>146</v>
      </c>
      <c r="C230" s="19" t="s">
        <v>20</v>
      </c>
      <c r="D230" s="19"/>
      <c r="E230" s="19" t="s">
        <v>25</v>
      </c>
      <c r="F230" s="22"/>
      <c r="G230" s="146" t="s">
        <v>22</v>
      </c>
      <c r="H230" s="173" t="n">
        <v>11</v>
      </c>
      <c r="I230" s="148" t="n">
        <v>7</v>
      </c>
      <c r="J230" s="148" t="n">
        <v>9</v>
      </c>
      <c r="K230" s="149" t="n">
        <v>10138.98</v>
      </c>
      <c r="L230" s="149" t="n">
        <f aca="false">M230+N230</f>
        <v>6699.12</v>
      </c>
      <c r="M230" s="149" t="n">
        <v>2819.2</v>
      </c>
      <c r="N230" s="190" t="n">
        <v>3879.92</v>
      </c>
      <c r="O230" s="206" t="n">
        <v>2</v>
      </c>
      <c r="P230" s="149" t="n">
        <v>15606.38</v>
      </c>
      <c r="Q230" s="149" t="n">
        <f aca="false">R230+S230</f>
        <v>1546.68</v>
      </c>
      <c r="R230" s="149" t="n">
        <v>1546.68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42" t="s">
        <v>219</v>
      </c>
      <c r="G231" s="164" t="s">
        <v>26</v>
      </c>
      <c r="H231" s="178" t="n">
        <v>2</v>
      </c>
      <c r="I231" s="165" t="n">
        <v>1</v>
      </c>
      <c r="J231" s="165" t="n">
        <v>1</v>
      </c>
      <c r="K231" s="166" t="n">
        <v>1585.8</v>
      </c>
      <c r="L231" s="166" t="n">
        <f aca="false">M231+N231</f>
        <v>1585.8</v>
      </c>
      <c r="M231" s="166" t="n">
        <v>0</v>
      </c>
      <c r="N231" s="167" t="n">
        <v>1585.8</v>
      </c>
      <c r="O231" s="238" t="n">
        <v>1</v>
      </c>
      <c r="P231" s="166" t="n">
        <v>1585.8</v>
      </c>
      <c r="Q231" s="166" t="n">
        <f aca="false">R231+S231</f>
        <v>1585.8</v>
      </c>
      <c r="R231" s="166" t="n">
        <v>1585.8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289</v>
      </c>
      <c r="C232" s="19"/>
      <c r="D232" s="19"/>
      <c r="E232" s="19"/>
      <c r="F232" s="20"/>
      <c r="G232" s="146" t="s">
        <v>22</v>
      </c>
      <c r="H232" s="173" t="n">
        <v>3</v>
      </c>
      <c r="I232" s="148" t="n">
        <v>1</v>
      </c>
      <c r="J232" s="148" t="n">
        <v>2</v>
      </c>
      <c r="K232" s="149" t="n">
        <v>2643</v>
      </c>
      <c r="L232" s="149" t="n">
        <f aca="false">M232+N232</f>
        <v>2643</v>
      </c>
      <c r="M232" s="149"/>
      <c r="N232" s="224" t="n">
        <v>2643</v>
      </c>
      <c r="O232" s="151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57"/>
      <c r="G233" s="152" t="s">
        <v>23</v>
      </c>
      <c r="H233" s="174" t="n">
        <v>1</v>
      </c>
      <c r="I233" s="154" t="n">
        <v>1</v>
      </c>
      <c r="J233" s="154" t="n">
        <v>1</v>
      </c>
      <c r="K233" s="155" t="n">
        <v>2325.84</v>
      </c>
      <c r="L233" s="155" t="n">
        <v>2325.84</v>
      </c>
      <c r="M233" s="155" t="n">
        <v>2325.84</v>
      </c>
      <c r="N233" s="226"/>
      <c r="O233" s="157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54"/>
      <c r="B234" s="55" t="s">
        <v>147</v>
      </c>
      <c r="C234" s="56" t="s">
        <v>20</v>
      </c>
      <c r="D234" s="56"/>
      <c r="E234" s="56" t="s">
        <v>25</v>
      </c>
      <c r="F234" s="97"/>
      <c r="G234" s="158" t="s">
        <v>22</v>
      </c>
      <c r="H234" s="159" t="n">
        <v>4</v>
      </c>
      <c r="I234" s="160" t="n">
        <v>3</v>
      </c>
      <c r="J234" s="160" t="n">
        <v>3</v>
      </c>
      <c r="K234" s="161" t="n">
        <v>2093.26</v>
      </c>
      <c r="L234" s="161" t="n">
        <f aca="false">M234+N234</f>
        <v>2093.26</v>
      </c>
      <c r="M234" s="161" t="n">
        <v>2093.26</v>
      </c>
      <c r="N234" s="190"/>
      <c r="O234" s="163" t="n">
        <v>4</v>
      </c>
      <c r="P234" s="161" t="n">
        <v>16436.74</v>
      </c>
      <c r="Q234" s="161" t="n">
        <f aca="false">R234+S234</f>
        <v>16436.74</v>
      </c>
      <c r="R234" s="161" t="n">
        <v>16436.74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54"/>
      <c r="B235" s="55"/>
      <c r="C235" s="55"/>
      <c r="D235" s="55"/>
      <c r="E235" s="55"/>
      <c r="F235" s="26" t="s">
        <v>220</v>
      </c>
      <c r="G235" s="152" t="s">
        <v>26</v>
      </c>
      <c r="H235" s="171" t="n">
        <v>12</v>
      </c>
      <c r="I235" s="154" t="n">
        <v>2</v>
      </c>
      <c r="J235" s="154" t="n">
        <v>3</v>
      </c>
      <c r="K235" s="155" t="n">
        <v>9162.4</v>
      </c>
      <c r="L235" s="189" t="n">
        <f aca="false">M235+N235</f>
        <v>4228.8</v>
      </c>
      <c r="M235" s="155" t="n">
        <f aca="false">528.6</f>
        <v>528.6</v>
      </c>
      <c r="N235" s="167" t="n">
        <v>3700.2</v>
      </c>
      <c r="O235" s="157" t="n">
        <v>5</v>
      </c>
      <c r="P235" s="155" t="n">
        <v>13038.8</v>
      </c>
      <c r="Q235" s="161" t="n">
        <f aca="false">R235+S235</f>
        <v>18677.2</v>
      </c>
      <c r="R235" s="155" t="n">
        <f aca="false">7048+528.6+5638.4+5462.2</f>
        <v>18677.2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17"/>
      <c r="B236" s="18" t="s">
        <v>148</v>
      </c>
      <c r="C236" s="19" t="s">
        <v>20</v>
      </c>
      <c r="D236" s="19"/>
      <c r="E236" s="19" t="s">
        <v>21</v>
      </c>
      <c r="F236" s="22"/>
      <c r="G236" s="146" t="s">
        <v>22</v>
      </c>
      <c r="H236" s="173" t="n">
        <v>2</v>
      </c>
      <c r="I236" s="148" t="n">
        <v>1</v>
      </c>
      <c r="J236" s="148" t="n">
        <v>1</v>
      </c>
      <c r="K236" s="149" t="n">
        <v>436.1</v>
      </c>
      <c r="L236" s="149" t="n">
        <f aca="false">M236+N236</f>
        <v>436.1</v>
      </c>
      <c r="M236" s="149" t="n">
        <v>436.1</v>
      </c>
      <c r="N236" s="198"/>
      <c r="O236" s="151" t="n">
        <v>1</v>
      </c>
      <c r="P236" s="149" t="n">
        <v>13232.99</v>
      </c>
      <c r="Q236" s="149" t="n">
        <f aca="false">R236+S236</f>
        <v>13232.99</v>
      </c>
      <c r="R236" s="149" t="n">
        <v>13232.99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248</v>
      </c>
      <c r="G237" s="152" t="s">
        <v>23</v>
      </c>
      <c r="H237" s="171" t="n">
        <v>2</v>
      </c>
      <c r="I237" s="154"/>
      <c r="J237" s="154"/>
      <c r="K237" s="155"/>
      <c r="L237" s="155" t="n">
        <f aca="false">M237+N237</f>
        <v>0</v>
      </c>
      <c r="M237" s="155"/>
      <c r="N237" s="156"/>
      <c r="O237" s="157" t="n">
        <v>1</v>
      </c>
      <c r="P237" s="155" t="n">
        <v>572.65</v>
      </c>
      <c r="Q237" s="155" t="n">
        <v>572.65</v>
      </c>
      <c r="R237" s="155" t="n">
        <v>572.65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99"/>
      <c r="B238" s="100" t="s">
        <v>149</v>
      </c>
      <c r="C238" s="100"/>
      <c r="D238" s="100"/>
      <c r="E238" s="100"/>
      <c r="F238" s="100"/>
      <c r="G238" s="212"/>
      <c r="H238" s="213" t="n">
        <f aca="false">SUM(H9:H237)</f>
        <v>1610</v>
      </c>
      <c r="I238" s="214" t="n">
        <f aca="false">SUM(I9:I237)</f>
        <v>940</v>
      </c>
      <c r="J238" s="214" t="n">
        <f aca="false">SUM(J9:J237)</f>
        <v>1081</v>
      </c>
      <c r="K238" s="215" t="n">
        <f aca="false">SUM(K9:K237)</f>
        <v>1680236.35</v>
      </c>
      <c r="L238" s="215" t="n">
        <f aca="false">SUM(L9:L237)</f>
        <v>1172235.66</v>
      </c>
      <c r="M238" s="215" t="n">
        <f aca="false">SUM(M9:M237)</f>
        <v>801984.5</v>
      </c>
      <c r="N238" s="243" t="n">
        <f aca="false">SUM(N9:N237)</f>
        <v>383150.87</v>
      </c>
      <c r="O238" s="244" t="n">
        <f aca="false">SUM(O9:O237)</f>
        <v>974</v>
      </c>
      <c r="P238" s="245" t="n">
        <f aca="false">SUM(P9:P237)</f>
        <v>3035903.06</v>
      </c>
      <c r="Q238" s="245" t="n">
        <f aca="false">SUM(Q9:Q237)</f>
        <v>2582899.67</v>
      </c>
      <c r="R238" s="245" t="n">
        <f aca="false">SUM(R9:R237)</f>
        <v>2079140.37</v>
      </c>
      <c r="S238" s="246" t="n">
        <f aca="false">SUM(S9:S237)</f>
        <v>518140.8</v>
      </c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 t="s">
        <v>290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2"/>
      <c r="B242" s="2"/>
      <c r="C242" s="2"/>
      <c r="D242" s="2"/>
      <c r="E242" s="2"/>
      <c r="F242" s="103"/>
      <c r="G242" s="104" t="s">
        <v>5</v>
      </c>
      <c r="H242" s="104"/>
      <c r="I242" s="104"/>
      <c r="J242" s="104"/>
      <c r="K242" s="104"/>
      <c r="L242" s="104"/>
      <c r="M242" s="104"/>
      <c r="N242" s="104" t="s">
        <v>6</v>
      </c>
      <c r="O242" s="104"/>
      <c r="P242" s="104"/>
      <c r="Q242" s="104"/>
      <c r="R242" s="104"/>
      <c r="S242" s="105" t="s">
        <v>150</v>
      </c>
      <c r="T242" s="105" t="s">
        <v>253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103"/>
      <c r="G243" s="106" t="s">
        <v>13</v>
      </c>
      <c r="H243" s="106" t="s">
        <v>14</v>
      </c>
      <c r="I243" s="106" t="s">
        <v>15</v>
      </c>
      <c r="J243" s="106" t="s">
        <v>226</v>
      </c>
      <c r="K243" s="106" t="s">
        <v>16</v>
      </c>
      <c r="L243" s="106" t="s">
        <v>17</v>
      </c>
      <c r="M243" s="106" t="s">
        <v>18</v>
      </c>
      <c r="N243" s="106" t="s">
        <v>15</v>
      </c>
      <c r="O243" s="106" t="s">
        <v>226</v>
      </c>
      <c r="P243" s="106" t="s">
        <v>16</v>
      </c>
      <c r="Q243" s="106" t="s">
        <v>17</v>
      </c>
      <c r="R243" s="106" t="s">
        <v>18</v>
      </c>
      <c r="S243" s="105"/>
      <c r="T243" s="105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107" t="s">
        <v>22</v>
      </c>
      <c r="G244" s="108" t="n">
        <f aca="false">SUMIF($G$9:$G$237,$F$244,H9:H237)</f>
        <v>1059</v>
      </c>
      <c r="H244" s="108" t="n">
        <f aca="false">SUMIF($G$9:$G$237,$F$244,I9:I237)</f>
        <v>723</v>
      </c>
      <c r="I244" s="108" t="n">
        <f aca="false">SUMIF($G$9:$G$237,$F$244,J9:J237)</f>
        <v>859</v>
      </c>
      <c r="J244" s="110" t="n">
        <f aca="false">SUMIF($G$9:$G$237,F244,$K$9:$K$237)</f>
        <v>1321636.08</v>
      </c>
      <c r="K244" s="110" t="n">
        <f aca="false">SUMIF($G$9:$G$237,$F$244,L9:L237)</f>
        <v>991505.54</v>
      </c>
      <c r="L244" s="110" t="n">
        <f aca="false">SUMIF($G$9:$G$237,$F$244,M9:M237)</f>
        <v>699110.34</v>
      </c>
      <c r="M244" s="110" t="n">
        <f aca="false">SUMIF($G$9:$G$237,$F$244,N9:N237)</f>
        <v>292395.2</v>
      </c>
      <c r="N244" s="108" t="n">
        <f aca="false">SUMIF($G$9:$G$237,$F$244,O9:O237)</f>
        <v>656</v>
      </c>
      <c r="O244" s="110" t="n">
        <f aca="false">SUMIF($G$9:$G$237,F244,$P$9:$P$237)</f>
        <v>2365202.39</v>
      </c>
      <c r="P244" s="110" t="n">
        <f aca="false">SUMIF($G$9:$G$237,$F$244,Q9:Q237)</f>
        <v>1953989.02</v>
      </c>
      <c r="Q244" s="110" t="n">
        <f aca="false">SUMIF($G$9:$G$237,$F$244,R9:R237)</f>
        <v>1592142.53</v>
      </c>
      <c r="R244" s="110" t="n">
        <f aca="false">SUMIF($G$9:$G$237,$F$244,S9:S237)</f>
        <v>361846.49</v>
      </c>
      <c r="S244" s="110" t="n">
        <f aca="false">Q244+L244</f>
        <v>2291252.87</v>
      </c>
      <c r="T244" s="111" t="n">
        <f aca="false">J244-L244+O244-Q244</f>
        <v>1395585.6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107" t="s">
        <v>26</v>
      </c>
      <c r="G245" s="108" t="n">
        <f aca="false">SUMIF($G$9:$G$237,$F$245,H9:H237)</f>
        <v>343</v>
      </c>
      <c r="H245" s="108" t="n">
        <v>20</v>
      </c>
      <c r="I245" s="108" t="n">
        <f aca="false">SUMIF($G$9:$G$237,$F$245,J9:J237)</f>
        <v>112</v>
      </c>
      <c r="J245" s="110" t="n">
        <f aca="false">SUMIF($G$9:$G$237,F245,$K$9:$K$237)</f>
        <v>215227.06</v>
      </c>
      <c r="K245" s="110" t="n">
        <f aca="false">SUMIF($G$9:$G$237,$F$245,L9:L237)</f>
        <v>144891.99</v>
      </c>
      <c r="L245" s="110" t="n">
        <f aca="false">SUMIF($G$9:$G$237,$F$245,M9:M237)</f>
        <v>67036.03</v>
      </c>
      <c r="M245" s="110" t="n">
        <f aca="false">SUMIF($G$9:$G$237,$F$245,N9:N237)</f>
        <v>82084.76</v>
      </c>
      <c r="N245" s="108" t="n">
        <f aca="false">SUMIF($G$9:$G$237,$F$245,O9:O237)</f>
        <v>213</v>
      </c>
      <c r="O245" s="110" t="n">
        <f aca="false">SUMIF($G$9:$G$237,F245,$P$9:$P$237)</f>
        <v>450001.6</v>
      </c>
      <c r="P245" s="110" t="n">
        <f aca="false">SUMIF($G$9:$G$237,$F$245,Q9:Q237)</f>
        <v>504748.78</v>
      </c>
      <c r="Q245" s="110" t="n">
        <f aca="false">SUMIF($G$9:$G$237,$F$245,R9:R237)</f>
        <v>362835.97</v>
      </c>
      <c r="R245" s="110" t="n">
        <f aca="false">SUMIF($G$9:$G$237,$F$245,S9:S237)</f>
        <v>141912.81</v>
      </c>
      <c r="S245" s="110" t="n">
        <f aca="false">Q245+L245</f>
        <v>429872</v>
      </c>
      <c r="T245" s="111" t="n">
        <f aca="false">J245-L245+O245-Q245</f>
        <v>235356.66</v>
      </c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107" t="s">
        <v>23</v>
      </c>
      <c r="G246" s="108" t="n">
        <f aca="false">SUMIF($G$9:$G$237,$F$246,H9:H237)</f>
        <v>208</v>
      </c>
      <c r="H246" s="108" t="n">
        <f aca="false">SUMIF($G$9:$G$237,$F$246,I9:I237)</f>
        <v>110</v>
      </c>
      <c r="I246" s="108" t="n">
        <f aca="false">SUMIF($G$9:$G$237,$F$246,J9:J237)</f>
        <v>110</v>
      </c>
      <c r="J246" s="110" t="n">
        <f aca="false">SUMIF($G$9:$G$237,F246,$K$9:$K$237)</f>
        <v>143373.21</v>
      </c>
      <c r="K246" s="110" t="n">
        <f aca="false">SUMIF($G$9:$G$237,$F$246,L9:L237)</f>
        <v>35838.13</v>
      </c>
      <c r="L246" s="110" t="n">
        <f aca="false">SUMIF($G$9:$G$237,$F$246,M9:M237)</f>
        <v>35838.13</v>
      </c>
      <c r="M246" s="110" t="n">
        <f aca="false">SUMIF($G$9:$G$237,$F$246,N9:N237)</f>
        <v>8670.91</v>
      </c>
      <c r="N246" s="108" t="n">
        <f aca="false">SUMIF($G$9:$G$237,$F$246,O9:O237)</f>
        <v>105</v>
      </c>
      <c r="O246" s="110" t="n">
        <f aca="false">SUMIF($G$9:$G$237,F246,$P$9:$P$237)</f>
        <v>220699.07</v>
      </c>
      <c r="P246" s="110" t="n">
        <f aca="false">SUMIF($G$9:$G$237,$F$246,Q9:Q237)</f>
        <v>124161.87</v>
      </c>
      <c r="Q246" s="110" t="n">
        <f aca="false">SUMIF($G$9:$G$237,$F$246,R9:R237)</f>
        <v>124161.87</v>
      </c>
      <c r="R246" s="110" t="n">
        <f aca="false">SUMIF($G$9:$G$237,$F$246,S9:S237)</f>
        <v>14381.5</v>
      </c>
      <c r="S246" s="110" t="n">
        <f aca="false">Q246+L246</f>
        <v>160000</v>
      </c>
      <c r="T246" s="111" t="n">
        <f aca="false">J246-L246+O246-Q246</f>
        <v>204072.28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16" t="n">
        <f aca="false">G246+G245+G244</f>
        <v>1610</v>
      </c>
      <c r="H247" s="216" t="n">
        <f aca="false">H246+H245+H244</f>
        <v>853</v>
      </c>
      <c r="I247" s="216" t="n">
        <f aca="false">I246+I245+I244</f>
        <v>1081</v>
      </c>
      <c r="J247" s="217" t="n">
        <f aca="false">J246+J245+J244</f>
        <v>1680236.35</v>
      </c>
      <c r="K247" s="217" t="n">
        <f aca="false">K246+K245+K244</f>
        <v>1172235.66</v>
      </c>
      <c r="L247" s="217" t="n">
        <f aca="false">L246+L245+L244</f>
        <v>801984.5</v>
      </c>
      <c r="M247" s="217" t="n">
        <f aca="false">M246+M245+M244</f>
        <v>383150.87</v>
      </c>
      <c r="N247" s="216" t="n">
        <f aca="false">N246+N245+N244</f>
        <v>974</v>
      </c>
      <c r="O247" s="217" t="n">
        <f aca="false">O246+O245+O244</f>
        <v>3035903.06</v>
      </c>
      <c r="P247" s="217" t="n">
        <f aca="false">P246+P245+P244</f>
        <v>2582899.67</v>
      </c>
      <c r="Q247" s="217" t="n">
        <f aca="false">Q246+Q245+Q244</f>
        <v>2079140.37</v>
      </c>
      <c r="R247" s="217" t="n">
        <f aca="false">R246+R245+R244</f>
        <v>518140.8</v>
      </c>
      <c r="S247" s="217" t="n">
        <f aca="false">S246+S245+S244</f>
        <v>2881124.87</v>
      </c>
      <c r="T247" s="217" t="n">
        <f aca="false">T246+T245+T244</f>
        <v>1835014.54</v>
      </c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F308" s="0" t="s">
        <v>22</v>
      </c>
      <c r="G308" s="0" t="n">
        <v>855</v>
      </c>
      <c r="H308" s="247" t="n">
        <v>470</v>
      </c>
      <c r="I308" s="247" t="n">
        <v>533</v>
      </c>
      <c r="J308" s="0" t="n">
        <v>698634.28</v>
      </c>
      <c r="K308" s="236" t="n">
        <v>578741.37</v>
      </c>
      <c r="L308" s="0" t="n">
        <v>208301.67</v>
      </c>
      <c r="M308" s="0" t="n">
        <v>370439.7</v>
      </c>
      <c r="N308" s="0" t="n">
        <v>549</v>
      </c>
      <c r="O308" s="0" t="n">
        <v>1707859.19</v>
      </c>
      <c r="P308" s="0" t="n">
        <v>1387209.08</v>
      </c>
      <c r="Q308" s="0" t="n">
        <v>868523.33</v>
      </c>
      <c r="R308" s="0" t="n">
        <v>518685.75</v>
      </c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</sheetData>
  <mergeCells count="56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4"/>
    <mergeCell ref="B122:B124"/>
    <mergeCell ref="C122:C124"/>
    <mergeCell ref="D122:D124"/>
    <mergeCell ref="E122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5"/>
    <mergeCell ref="B133:B135"/>
    <mergeCell ref="C133:C135"/>
    <mergeCell ref="D133:D135"/>
    <mergeCell ref="E133:E135"/>
    <mergeCell ref="A136:A137"/>
    <mergeCell ref="B136:B137"/>
    <mergeCell ref="C136:C137"/>
    <mergeCell ref="D136:D137"/>
    <mergeCell ref="E136:E137"/>
    <mergeCell ref="A138:A140"/>
    <mergeCell ref="B138:B140"/>
    <mergeCell ref="C138:C140"/>
    <mergeCell ref="D138:D140"/>
    <mergeCell ref="E138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3"/>
    <mergeCell ref="B171:B173"/>
    <mergeCell ref="C171:C173"/>
    <mergeCell ref="D171:D173"/>
    <mergeCell ref="E171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B180:B181"/>
    <mergeCell ref="D180:D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F242:F243"/>
    <mergeCell ref="G242:M242"/>
    <mergeCell ref="N242:R242"/>
    <mergeCell ref="S242:S243"/>
    <mergeCell ref="T242:T24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24236.65</v>
      </c>
      <c r="R9" s="149" t="n">
        <v>24236.65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16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9438.15</v>
      </c>
      <c r="N11" s="239" t="n">
        <v>19018.76</v>
      </c>
      <c r="O11" s="151" t="n">
        <v>7</v>
      </c>
      <c r="P11" s="149" t="n">
        <v>30607.11</v>
      </c>
      <c r="Q11" s="149" t="n">
        <f aca="false">R11+S11</f>
        <v>30607.11</v>
      </c>
      <c r="R11" s="149" t="n">
        <v>21512.99</v>
      </c>
      <c r="S11" s="150" t="n">
        <v>9094.12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</f>
        <v>1585.8</v>
      </c>
      <c r="S12" s="156" t="n">
        <v>881</v>
      </c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22</v>
      </c>
      <c r="I13" s="148" t="n">
        <v>16</v>
      </c>
      <c r="J13" s="148" t="n">
        <v>22</v>
      </c>
      <c r="K13" s="149" t="n">
        <v>23989.03</v>
      </c>
      <c r="L13" s="149" t="n">
        <f aca="false">M13+N13</f>
        <v>22535.38</v>
      </c>
      <c r="M13" s="149" t="n">
        <v>22535.38</v>
      </c>
      <c r="N13" s="190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3</v>
      </c>
      <c r="J14" s="154" t="n">
        <v>3</v>
      </c>
      <c r="K14" s="155" t="n">
        <v>5462.2</v>
      </c>
      <c r="L14" s="155" t="n">
        <f aca="false">M14+N14</f>
        <v>1938.2</v>
      </c>
      <c r="M14" s="155" t="n">
        <v>0</v>
      </c>
      <c r="N14" s="156" t="n">
        <v>1938.2</v>
      </c>
      <c r="O14" s="209" t="n">
        <v>6</v>
      </c>
      <c r="P14" s="155" t="n">
        <v>11273.8</v>
      </c>
      <c r="Q14" s="155" t="n">
        <f aca="false">R14+S14</f>
        <v>10916.3</v>
      </c>
      <c r="R14" s="155" t="n">
        <f aca="false">1585.8+2106.3+5109.8</f>
        <v>8801.9</v>
      </c>
      <c r="S14" s="167" t="n">
        <f aca="false">7224.2-5109.8</f>
        <v>2114.4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0</v>
      </c>
      <c r="M16" s="166"/>
      <c r="N16" s="156"/>
      <c r="O16" s="168" t="n">
        <v>4</v>
      </c>
      <c r="P16" s="166" t="n">
        <v>19515.9</v>
      </c>
      <c r="Q16" s="166" t="n">
        <f aca="false">R16+S16</f>
        <v>3724.22</v>
      </c>
      <c r="R16" s="166"/>
      <c r="S16" s="167" t="n">
        <f aca="false">10924.4-7200.18</f>
        <v>3724.22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5</v>
      </c>
      <c r="I18" s="154" t="n">
        <v>2</v>
      </c>
      <c r="J18" s="154" t="n">
        <v>2</v>
      </c>
      <c r="K18" s="155" t="n">
        <v>1389.4</v>
      </c>
      <c r="L18" s="155" t="n">
        <f aca="false">M18+N18</f>
        <v>704.8</v>
      </c>
      <c r="M18" s="155"/>
      <c r="N18" s="226" t="n">
        <v>704.8</v>
      </c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14</v>
      </c>
      <c r="I19" s="160" t="n">
        <v>6</v>
      </c>
      <c r="J19" s="160" t="n">
        <v>6</v>
      </c>
      <c r="K19" s="161" t="n">
        <v>6637.5</v>
      </c>
      <c r="L19" s="161" t="n">
        <f aca="false">M19+N19</f>
        <v>4012.08</v>
      </c>
      <c r="M19" s="161" t="n">
        <v>2267.7</v>
      </c>
      <c r="N19" s="190" t="n">
        <v>1744.38</v>
      </c>
      <c r="O19" s="163" t="n">
        <v>16</v>
      </c>
      <c r="P19" s="161" t="n">
        <v>34111.34</v>
      </c>
      <c r="Q19" s="161" t="n">
        <f aca="false">R19+S19</f>
        <v>17766.28</v>
      </c>
      <c r="R19" s="161" t="n">
        <v>16182.38</v>
      </c>
      <c r="S19" s="190" t="n">
        <v>1583.9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3</v>
      </c>
      <c r="I20" s="154"/>
      <c r="J20" s="154"/>
      <c r="K20" s="155"/>
      <c r="L20" s="155" t="n">
        <f aca="false">M20+N20</f>
        <v>0</v>
      </c>
      <c r="M20" s="155"/>
      <c r="N20" s="156"/>
      <c r="O20" s="157" t="n">
        <v>2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20</v>
      </c>
      <c r="I21" s="160" t="n">
        <v>13</v>
      </c>
      <c r="J21" s="160" t="n">
        <v>19</v>
      </c>
      <c r="K21" s="161" t="n">
        <v>22813.49</v>
      </c>
      <c r="L21" s="161" t="n">
        <f aca="false">M21+N21</f>
        <v>24311.18</v>
      </c>
      <c r="M21" s="161" t="n">
        <v>12132.25</v>
      </c>
      <c r="N21" s="190" t="n">
        <v>12178.93</v>
      </c>
      <c r="O21" s="151" t="n">
        <v>18</v>
      </c>
      <c r="P21" s="149" t="n">
        <v>34926.57</v>
      </c>
      <c r="Q21" s="149" t="n">
        <f aca="false">R21+S21</f>
        <v>27767.21</v>
      </c>
      <c r="R21" s="149" t="n">
        <v>17792.17</v>
      </c>
      <c r="S21" s="198" t="n">
        <v>9975.04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1</v>
      </c>
      <c r="P22" s="155" t="n">
        <v>704.8</v>
      </c>
      <c r="Q22" s="155" t="n">
        <v>704.8</v>
      </c>
      <c r="R22" s="155" t="n">
        <v>704.8</v>
      </c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15</v>
      </c>
      <c r="I23" s="148" t="n">
        <v>8</v>
      </c>
      <c r="J23" s="148" t="n">
        <v>8</v>
      </c>
      <c r="K23" s="148" t="n">
        <v>2378.7</v>
      </c>
      <c r="L23" s="149" t="n">
        <f aca="false">M23+N23</f>
        <v>2378.7</v>
      </c>
      <c r="M23" s="149" t="n">
        <v>2378.7</v>
      </c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 t="n">
        <v>2</v>
      </c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18</v>
      </c>
      <c r="I25" s="160" t="n">
        <v>15</v>
      </c>
      <c r="J25" s="160" t="n">
        <v>20</v>
      </c>
      <c r="K25" s="161" t="n">
        <v>26169.32</v>
      </c>
      <c r="L25" s="161" t="n">
        <f aca="false">M25+N25</f>
        <v>21522.43</v>
      </c>
      <c r="M25" s="161" t="n">
        <v>21522.43</v>
      </c>
      <c r="N25" s="190"/>
      <c r="O25" s="151" t="n">
        <v>7</v>
      </c>
      <c r="P25" s="149" t="n">
        <v>12143.43</v>
      </c>
      <c r="Q25" s="149" t="n">
        <f aca="false">R25+S25</f>
        <v>10769.07</v>
      </c>
      <c r="R25" s="149" t="n">
        <v>10769.07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4</v>
      </c>
      <c r="I26" s="165" t="n">
        <v>2</v>
      </c>
      <c r="J26" s="165" t="n">
        <v>2</v>
      </c>
      <c r="K26" s="166" t="n">
        <v>1409.6</v>
      </c>
      <c r="L26" s="166" t="n">
        <f aca="false">M26+N26</f>
        <v>0</v>
      </c>
      <c r="M26" s="166"/>
      <c r="N26" s="156"/>
      <c r="O26" s="157" t="n">
        <v>9</v>
      </c>
      <c r="P26" s="155" t="n">
        <v>19558.2</v>
      </c>
      <c r="Q26" s="155" t="n">
        <f aca="false">R26+S26</f>
        <v>17267.6</v>
      </c>
      <c r="R26" s="155" t="n">
        <f aca="false">2995.4</f>
        <v>2995.4</v>
      </c>
      <c r="S26" s="156" t="n">
        <v>14272.2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/>
      <c r="N28" s="156" t="n">
        <v>4052.6</v>
      </c>
      <c r="O28" s="157" t="n">
        <v>6</v>
      </c>
      <c r="P28" s="155" t="n">
        <v>19381.4</v>
      </c>
      <c r="Q28" s="155" t="n">
        <f aca="false">R28+S28</f>
        <v>17243.65</v>
      </c>
      <c r="R28" s="155" t="n">
        <f aca="false">5286+2290.6-23.95</f>
        <v>7552.65</v>
      </c>
      <c r="S28" s="156" t="n">
        <f aca="false">2819.2+1762+5109.8</f>
        <v>9691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153</v>
      </c>
      <c r="C29" s="19" t="s">
        <v>20</v>
      </c>
      <c r="D29" s="19"/>
      <c r="E29" s="19" t="s">
        <v>278</v>
      </c>
      <c r="F29" s="20"/>
      <c r="G29" s="146" t="s">
        <v>22</v>
      </c>
      <c r="H29" s="147" t="n">
        <v>7</v>
      </c>
      <c r="I29" s="148"/>
      <c r="J29" s="148"/>
      <c r="K29" s="149"/>
      <c r="L29" s="149" t="n">
        <f aca="false">M29+N29</f>
        <v>0</v>
      </c>
      <c r="M29" s="149"/>
      <c r="N29" s="190"/>
      <c r="O29" s="163"/>
      <c r="P29" s="161"/>
      <c r="Q29" s="161" t="n">
        <f aca="false">R29+S29</f>
        <v>0</v>
      </c>
      <c r="R29" s="161"/>
      <c r="S29" s="19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42" t="s">
        <v>231</v>
      </c>
      <c r="G30" s="164" t="s">
        <v>23</v>
      </c>
      <c r="H30" s="178" t="n">
        <v>11</v>
      </c>
      <c r="I30" s="165"/>
      <c r="J30" s="165"/>
      <c r="K30" s="166"/>
      <c r="L30" s="166" t="n">
        <f aca="false">M30+N30</f>
        <v>0</v>
      </c>
      <c r="M30" s="166"/>
      <c r="N30" s="156"/>
      <c r="O30" s="168"/>
      <c r="P30" s="166"/>
      <c r="Q30" s="166" t="n">
        <f aca="false">R30+S30</f>
        <v>0</v>
      </c>
      <c r="R30" s="166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232</v>
      </c>
      <c r="C31" s="19"/>
      <c r="D31" s="19"/>
      <c r="E31" s="19"/>
      <c r="F31" s="20"/>
      <c r="G31" s="146" t="s">
        <v>22</v>
      </c>
      <c r="H31" s="147" t="n">
        <v>3</v>
      </c>
      <c r="I31" s="148"/>
      <c r="J31" s="148"/>
      <c r="K31" s="149"/>
      <c r="L31" s="149" t="n">
        <f aca="false">M31+N31</f>
        <v>0</v>
      </c>
      <c r="M31" s="149"/>
      <c r="N31" s="190"/>
      <c r="O31" s="206"/>
      <c r="P31" s="149"/>
      <c r="Q31" s="149" t="n">
        <f aca="false">R31+S31</f>
        <v>0</v>
      </c>
      <c r="R31" s="149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26" t="s">
        <v>265</v>
      </c>
      <c r="G32" s="152" t="s">
        <v>26</v>
      </c>
      <c r="H32" s="176" t="n">
        <v>4</v>
      </c>
      <c r="I32" s="154" t="n">
        <v>1</v>
      </c>
      <c r="J32" s="154" t="n">
        <v>1</v>
      </c>
      <c r="K32" s="155" t="n">
        <v>704.8</v>
      </c>
      <c r="L32" s="155" t="n">
        <f aca="false">M32+N32</f>
        <v>704.8</v>
      </c>
      <c r="M32" s="155"/>
      <c r="N32" s="156" t="n">
        <v>704.8</v>
      </c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40</v>
      </c>
      <c r="C33" s="56" t="s">
        <v>38</v>
      </c>
      <c r="D33" s="56" t="s">
        <v>41</v>
      </c>
      <c r="E33" s="56" t="s">
        <v>42</v>
      </c>
      <c r="F33" s="36"/>
      <c r="G33" s="158" t="s">
        <v>22</v>
      </c>
      <c r="H33" s="169"/>
      <c r="I33" s="160"/>
      <c r="J33" s="160"/>
      <c r="K33" s="161"/>
      <c r="L33" s="161" t="n">
        <f aca="false">M33+N33</f>
        <v>0</v>
      </c>
      <c r="M33" s="161"/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57"/>
      <c r="G34" s="152" t="s">
        <v>23</v>
      </c>
      <c r="H34" s="153"/>
      <c r="I34" s="154"/>
      <c r="J34" s="154"/>
      <c r="K34" s="155"/>
      <c r="L34" s="155" t="n">
        <f aca="false">M34+N34</f>
        <v>0</v>
      </c>
      <c r="M34" s="155"/>
      <c r="N34" s="156"/>
      <c r="O34" s="157"/>
      <c r="P34" s="155"/>
      <c r="Q34" s="155" t="n">
        <f aca="false">R34+S34</f>
        <v>0</v>
      </c>
      <c r="R34" s="155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54"/>
      <c r="B35" s="55" t="s">
        <v>43</v>
      </c>
      <c r="C35" s="56" t="s">
        <v>33</v>
      </c>
      <c r="D35" s="56" t="s">
        <v>44</v>
      </c>
      <c r="E35" s="56" t="s">
        <v>45</v>
      </c>
      <c r="F35" s="36"/>
      <c r="G35" s="146" t="s">
        <v>22</v>
      </c>
      <c r="H35" s="159" t="n">
        <v>9</v>
      </c>
      <c r="I35" s="160" t="n">
        <v>6</v>
      </c>
      <c r="J35" s="160" t="n">
        <v>6</v>
      </c>
      <c r="K35" s="161" t="n">
        <v>9138.09</v>
      </c>
      <c r="L35" s="161" t="n">
        <f aca="false">M35+N35</f>
        <v>9138.09</v>
      </c>
      <c r="M35" s="161" t="n">
        <v>4815.55</v>
      </c>
      <c r="N35" s="190" t="n">
        <v>4322.54</v>
      </c>
      <c r="O35" s="151" t="n">
        <v>10</v>
      </c>
      <c r="P35" s="149" t="n">
        <v>39637.95</v>
      </c>
      <c r="Q35" s="149" t="n">
        <f aca="false">R35+S35</f>
        <v>39637.95</v>
      </c>
      <c r="R35" s="149" t="n">
        <v>22406.54</v>
      </c>
      <c r="S35" s="198" t="n">
        <v>17231.41</v>
      </c>
      <c r="T35" s="2"/>
      <c r="U35" s="70"/>
      <c r="V35" s="70"/>
      <c r="W35" s="70"/>
      <c r="X35" s="70"/>
      <c r="Y35" s="70"/>
      <c r="Z35" s="70"/>
      <c r="AA35" s="70"/>
      <c r="AB35" s="70"/>
      <c r="AC35" s="70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26" t="s">
        <v>165</v>
      </c>
      <c r="G36" s="152" t="s">
        <v>26</v>
      </c>
      <c r="H36" s="153" t="n">
        <v>2</v>
      </c>
      <c r="I36" s="154" t="n">
        <v>2</v>
      </c>
      <c r="J36" s="154" t="n">
        <v>2</v>
      </c>
      <c r="K36" s="155" t="n">
        <v>4933.6</v>
      </c>
      <c r="L36" s="155" t="n">
        <f aca="false">M36+N36</f>
        <v>1233.4</v>
      </c>
      <c r="M36" s="155"/>
      <c r="N36" s="156" t="n">
        <v>1233.4</v>
      </c>
      <c r="O36" s="157" t="n">
        <v>5</v>
      </c>
      <c r="P36" s="155" t="n">
        <v>13567.4</v>
      </c>
      <c r="Q36" s="155" t="n">
        <f aca="false">R36+S36</f>
        <v>10219.38</v>
      </c>
      <c r="R36" s="155" t="n">
        <f aca="false">53.85</f>
        <v>53.85</v>
      </c>
      <c r="S36" s="156" t="n">
        <f aca="false">7400.4+1233.4+1585.58-53.85</f>
        <v>10165.53</v>
      </c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" hidden="false" customHeight="true" outlineLevel="0" collapsed="false">
      <c r="A37" s="33"/>
      <c r="B37" s="34" t="s">
        <v>46</v>
      </c>
      <c r="C37" s="35" t="s">
        <v>20</v>
      </c>
      <c r="D37" s="35"/>
      <c r="E37" s="35" t="s">
        <v>25</v>
      </c>
      <c r="F37" s="36"/>
      <c r="G37" s="146" t="s">
        <v>22</v>
      </c>
      <c r="H37" s="159" t="n">
        <v>10</v>
      </c>
      <c r="I37" s="160" t="n">
        <v>9</v>
      </c>
      <c r="J37" s="160" t="n">
        <v>11</v>
      </c>
      <c r="K37" s="161" t="n">
        <v>26775.53</v>
      </c>
      <c r="L37" s="161" t="n">
        <f aca="false">M37+N37</f>
        <v>19151.8</v>
      </c>
      <c r="M37" s="161" t="n">
        <v>3765.39</v>
      </c>
      <c r="N37" s="190" t="n">
        <v>15386.41</v>
      </c>
      <c r="O37" s="151" t="n">
        <v>14</v>
      </c>
      <c r="P37" s="149" t="n">
        <v>54101.49</v>
      </c>
      <c r="Q37" s="149" t="n">
        <f aca="false">R37+S37</f>
        <v>54101.49</v>
      </c>
      <c r="R37" s="149" t="n">
        <v>48833.49</v>
      </c>
      <c r="S37" s="198" t="n">
        <v>5268</v>
      </c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164" t="s">
        <v>26</v>
      </c>
      <c r="H38" s="153"/>
      <c r="I38" s="165"/>
      <c r="J38" s="165"/>
      <c r="K38" s="166"/>
      <c r="L38" s="166" t="n">
        <f aca="false">M38+N38</f>
        <v>0</v>
      </c>
      <c r="M38" s="166"/>
      <c r="N38" s="156"/>
      <c r="O38" s="157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72"/>
      <c r="B39" s="73" t="s">
        <v>47</v>
      </c>
      <c r="C39" s="74" t="s">
        <v>20</v>
      </c>
      <c r="D39" s="74" t="s">
        <v>166</v>
      </c>
      <c r="E39" s="75" t="s">
        <v>25</v>
      </c>
      <c r="F39" s="22"/>
      <c r="G39" s="146" t="s">
        <v>22</v>
      </c>
      <c r="H39" s="159" t="n">
        <v>7</v>
      </c>
      <c r="I39" s="148" t="n">
        <v>1</v>
      </c>
      <c r="J39" s="148" t="n">
        <v>1</v>
      </c>
      <c r="K39" s="149" t="n">
        <v>621.99</v>
      </c>
      <c r="L39" s="149" t="n">
        <f aca="false">M39+N39</f>
        <v>621.99</v>
      </c>
      <c r="M39" s="149" t="n">
        <v>621.99</v>
      </c>
      <c r="N39" s="190"/>
      <c r="O39" s="151"/>
      <c r="P39" s="149"/>
      <c r="Q39" s="149" t="n">
        <f aca="false">R39+S39</f>
        <v>0</v>
      </c>
      <c r="R39" s="149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72"/>
      <c r="B40" s="73"/>
      <c r="C40" s="73"/>
      <c r="D40" s="73"/>
      <c r="E40" s="75"/>
      <c r="F40" s="42" t="s">
        <v>167</v>
      </c>
      <c r="G40" s="164" t="s">
        <v>26</v>
      </c>
      <c r="H40" s="172" t="n">
        <v>5</v>
      </c>
      <c r="I40" s="165"/>
      <c r="J40" s="165"/>
      <c r="K40" s="166"/>
      <c r="L40" s="166" t="n">
        <f aca="false">M40+N40</f>
        <v>0</v>
      </c>
      <c r="M40" s="166"/>
      <c r="N40" s="156"/>
      <c r="O40" s="168" t="n">
        <v>3</v>
      </c>
      <c r="P40" s="166" t="n">
        <v>13945.3</v>
      </c>
      <c r="Q40" s="166" t="n">
        <f aca="false">R40+S40</f>
        <v>10849.9</v>
      </c>
      <c r="R40" s="166"/>
      <c r="S40" s="167" t="n">
        <v>10849.9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17"/>
      <c r="B41" s="18" t="s">
        <v>48</v>
      </c>
      <c r="C41" s="19" t="s">
        <v>20</v>
      </c>
      <c r="D41" s="19" t="s">
        <v>168</v>
      </c>
      <c r="E41" s="19" t="s">
        <v>25</v>
      </c>
      <c r="F41" s="20"/>
      <c r="G41" s="146" t="s">
        <v>22</v>
      </c>
      <c r="H41" s="147" t="n">
        <v>2</v>
      </c>
      <c r="I41" s="148" t="n">
        <v>1</v>
      </c>
      <c r="J41" s="148" t="n">
        <v>1</v>
      </c>
      <c r="K41" s="149" t="n">
        <v>352.4</v>
      </c>
      <c r="L41" s="149" t="n">
        <f aca="false">M41+N41</f>
        <v>0</v>
      </c>
      <c r="M41" s="149"/>
      <c r="N41" s="190"/>
      <c r="O41" s="151" t="n">
        <v>4</v>
      </c>
      <c r="P41" s="149" t="n">
        <v>12699.01</v>
      </c>
      <c r="Q41" s="149" t="n">
        <f aca="false">R41+S41</f>
        <v>12699.01</v>
      </c>
      <c r="R41" s="149" t="n">
        <v>12699.01</v>
      </c>
      <c r="S41" s="198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17"/>
      <c r="B42" s="18"/>
      <c r="C42" s="18"/>
      <c r="D42" s="18"/>
      <c r="E42" s="18"/>
      <c r="F42" s="26" t="s">
        <v>169</v>
      </c>
      <c r="G42" s="152" t="s">
        <v>26</v>
      </c>
      <c r="H42" s="176" t="n">
        <v>3</v>
      </c>
      <c r="I42" s="154" t="n">
        <v>1</v>
      </c>
      <c r="J42" s="154" t="n">
        <v>1</v>
      </c>
      <c r="K42" s="155" t="n">
        <v>1233.4</v>
      </c>
      <c r="L42" s="155" t="n">
        <f aca="false">M42+N42</f>
        <v>0</v>
      </c>
      <c r="M42" s="155" t="n">
        <v>0</v>
      </c>
      <c r="N42" s="156"/>
      <c r="O42" s="157" t="n">
        <v>4</v>
      </c>
      <c r="P42" s="155" t="n">
        <v>11981.6</v>
      </c>
      <c r="Q42" s="155" t="n">
        <f aca="false">R42+S42</f>
        <v>11981.6</v>
      </c>
      <c r="R42" s="155" t="n">
        <f aca="false">528.6</f>
        <v>528.6</v>
      </c>
      <c r="S42" s="156" t="n">
        <v>11453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54"/>
      <c r="B43" s="55" t="s">
        <v>49</v>
      </c>
      <c r="C43" s="56" t="s">
        <v>20</v>
      </c>
      <c r="D43" s="78"/>
      <c r="E43" s="56" t="s">
        <v>50</v>
      </c>
      <c r="F43" s="36"/>
      <c r="G43" s="146" t="s">
        <v>22</v>
      </c>
      <c r="H43" s="169"/>
      <c r="I43" s="160"/>
      <c r="J43" s="160"/>
      <c r="K43" s="161"/>
      <c r="L43" s="161" t="n">
        <f aca="false">M43+N43</f>
        <v>0</v>
      </c>
      <c r="M43" s="161"/>
      <c r="N43" s="190"/>
      <c r="O43" s="163"/>
      <c r="P43" s="161"/>
      <c r="Q43" s="161" t="n">
        <f aca="false">R43+S43</f>
        <v>0</v>
      </c>
      <c r="R43" s="161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152" t="s">
        <v>26</v>
      </c>
      <c r="H44" s="153"/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33"/>
      <c r="B45" s="34" t="s">
        <v>51</v>
      </c>
      <c r="C45" s="35" t="s">
        <v>20</v>
      </c>
      <c r="D45" s="35"/>
      <c r="E45" s="35" t="s">
        <v>52</v>
      </c>
      <c r="F45" s="36"/>
      <c r="G45" s="146" t="s">
        <v>22</v>
      </c>
      <c r="H45" s="169" t="n">
        <v>5</v>
      </c>
      <c r="I45" s="160" t="n">
        <v>1</v>
      </c>
      <c r="J45" s="160" t="n">
        <v>1</v>
      </c>
      <c r="K45" s="161" t="n">
        <v>1162.92</v>
      </c>
      <c r="L45" s="161" t="n">
        <f aca="false">M45+N45</f>
        <v>0</v>
      </c>
      <c r="M45" s="161"/>
      <c r="N45" s="190"/>
      <c r="O45" s="151" t="n">
        <v>1</v>
      </c>
      <c r="P45" s="149" t="n">
        <v>5039.32</v>
      </c>
      <c r="Q45" s="149" t="n">
        <f aca="false">R45+S45</f>
        <v>5039.32</v>
      </c>
      <c r="R45" s="149" t="n">
        <v>5039.32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164" t="s">
        <v>26</v>
      </c>
      <c r="H46" s="175"/>
      <c r="I46" s="165"/>
      <c r="J46" s="165"/>
      <c r="K46" s="166"/>
      <c r="L46" s="166" t="n">
        <f aca="false">M46+N46</f>
        <v>0</v>
      </c>
      <c r="M46" s="166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17"/>
      <c r="B47" s="18" t="s">
        <v>154</v>
      </c>
      <c r="C47" s="19"/>
      <c r="D47" s="19" t="s">
        <v>170</v>
      </c>
      <c r="E47" s="19"/>
      <c r="F47" s="20"/>
      <c r="G47" s="146" t="s">
        <v>22</v>
      </c>
      <c r="H47" s="173" t="n">
        <v>43</v>
      </c>
      <c r="I47" s="148" t="n">
        <v>39</v>
      </c>
      <c r="J47" s="148" t="n">
        <v>39</v>
      </c>
      <c r="K47" s="149" t="n">
        <v>34720.47</v>
      </c>
      <c r="L47" s="149" t="n">
        <f aca="false">M47+N47</f>
        <v>34720.47</v>
      </c>
      <c r="M47" s="149" t="n">
        <v>14941.16</v>
      </c>
      <c r="N47" s="190" t="n">
        <v>19779.31</v>
      </c>
      <c r="O47" s="151"/>
      <c r="P47" s="149"/>
      <c r="Q47" s="149" t="n">
        <f aca="false">R47+S47</f>
        <v>0</v>
      </c>
      <c r="R47" s="149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" hidden="false" customHeight="false" outlineLevel="0" collapsed="false">
      <c r="A48" s="17"/>
      <c r="B48" s="18"/>
      <c r="C48" s="18"/>
      <c r="D48" s="18"/>
      <c r="E48" s="18"/>
      <c r="F48" s="26" t="s">
        <v>171</v>
      </c>
      <c r="G48" s="152" t="s">
        <v>26</v>
      </c>
      <c r="H48" s="174" t="n">
        <v>4</v>
      </c>
      <c r="I48" s="154" t="n">
        <v>1</v>
      </c>
      <c r="J48" s="154" t="n">
        <v>1</v>
      </c>
      <c r="K48" s="155" t="n">
        <v>1409.6</v>
      </c>
      <c r="L48" s="155" t="n">
        <f aca="false">M48+N48</f>
        <v>1409.6</v>
      </c>
      <c r="M48" s="155"/>
      <c r="N48" s="156" t="n">
        <v>1409.6</v>
      </c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53</v>
      </c>
      <c r="C49" s="56" t="s">
        <v>33</v>
      </c>
      <c r="D49" s="56" t="s">
        <v>54</v>
      </c>
      <c r="E49" s="56" t="s">
        <v>42</v>
      </c>
      <c r="F49" s="36"/>
      <c r="G49" s="158" t="s">
        <v>22</v>
      </c>
      <c r="H49" s="159" t="n">
        <v>13</v>
      </c>
      <c r="I49" s="160" t="n">
        <v>6</v>
      </c>
      <c r="J49" s="160" t="n">
        <v>8</v>
      </c>
      <c r="K49" s="161" t="n">
        <v>11601.93</v>
      </c>
      <c r="L49" s="161" t="n">
        <f aca="false">M49+N49</f>
        <v>11601.93</v>
      </c>
      <c r="M49" s="161" t="n">
        <v>7082.9</v>
      </c>
      <c r="N49" s="190" t="n">
        <v>4519.03</v>
      </c>
      <c r="O49" s="151" t="n">
        <v>17</v>
      </c>
      <c r="P49" s="149" t="n">
        <v>61726.54</v>
      </c>
      <c r="Q49" s="149" t="n">
        <f aca="false">R49+S49</f>
        <v>47845.54</v>
      </c>
      <c r="R49" s="149" t="n">
        <v>38366.17</v>
      </c>
      <c r="S49" s="198" t="n">
        <v>9479.37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23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55</v>
      </c>
      <c r="C51" s="35" t="s">
        <v>20</v>
      </c>
      <c r="D51" s="35"/>
      <c r="E51" s="35" t="s">
        <v>25</v>
      </c>
      <c r="F51" s="38"/>
      <c r="G51" s="146" t="s">
        <v>22</v>
      </c>
      <c r="H51" s="169" t="n">
        <v>1</v>
      </c>
      <c r="I51" s="160"/>
      <c r="J51" s="160"/>
      <c r="K51" s="161"/>
      <c r="L51" s="161" t="n">
        <f aca="false">M51+N51</f>
        <v>0</v>
      </c>
      <c r="M51" s="161"/>
      <c r="N51" s="190"/>
      <c r="O51" s="163" t="n">
        <v>3</v>
      </c>
      <c r="P51" s="161" t="n">
        <v>18745.92</v>
      </c>
      <c r="Q51" s="161" t="n">
        <f aca="false">R51+S51</f>
        <v>18745.92</v>
      </c>
      <c r="R51" s="161" t="n">
        <v>18745.92</v>
      </c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42" t="s">
        <v>172</v>
      </c>
      <c r="G52" s="164" t="s">
        <v>26</v>
      </c>
      <c r="H52" s="171" t="n">
        <v>3</v>
      </c>
      <c r="I52" s="165" t="n">
        <v>1</v>
      </c>
      <c r="J52" s="165" t="n">
        <v>1</v>
      </c>
      <c r="K52" s="166" t="n">
        <v>1057.2</v>
      </c>
      <c r="L52" s="161" t="n">
        <f aca="false">M52+N52</f>
        <v>0</v>
      </c>
      <c r="M52" s="166" t="n">
        <v>0</v>
      </c>
      <c r="N52" s="156"/>
      <c r="O52" s="168" t="n">
        <v>7</v>
      </c>
      <c r="P52" s="166" t="n">
        <v>14217.29</v>
      </c>
      <c r="Q52" s="161" t="n">
        <f aca="false">R52+S52</f>
        <v>18120.69</v>
      </c>
      <c r="R52" s="166" t="n">
        <f aca="false">1409.6+3672.29+13038.8</f>
        <v>18120.69</v>
      </c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.75" hidden="false" customHeight="true" outlineLevel="0" collapsed="false">
      <c r="A53" s="17"/>
      <c r="B53" s="18" t="s">
        <v>56</v>
      </c>
      <c r="C53" s="19" t="s">
        <v>33</v>
      </c>
      <c r="D53" s="19" t="s">
        <v>57</v>
      </c>
      <c r="E53" s="19" t="s">
        <v>25</v>
      </c>
      <c r="F53" s="20"/>
      <c r="G53" s="146" t="s">
        <v>22</v>
      </c>
      <c r="H53" s="159" t="n">
        <v>5</v>
      </c>
      <c r="I53" s="148"/>
      <c r="J53" s="148"/>
      <c r="K53" s="149"/>
      <c r="L53" s="149" t="n">
        <f aca="false">M53+N53</f>
        <v>0</v>
      </c>
      <c r="M53" s="149"/>
      <c r="N53" s="190"/>
      <c r="O53" s="151" t="n">
        <v>11</v>
      </c>
      <c r="P53" s="149" t="n">
        <v>43131.21</v>
      </c>
      <c r="Q53" s="149" t="n">
        <f aca="false">R53+S53</f>
        <v>43131.21</v>
      </c>
      <c r="R53" s="149" t="n">
        <v>43131.21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17"/>
      <c r="B54" s="18"/>
      <c r="C54" s="18"/>
      <c r="D54" s="18"/>
      <c r="E54" s="18"/>
      <c r="F54" s="42"/>
      <c r="G54" s="164" t="s">
        <v>26</v>
      </c>
      <c r="H54" s="175" t="n">
        <v>3</v>
      </c>
      <c r="I54" s="165"/>
      <c r="J54" s="165"/>
      <c r="K54" s="166"/>
      <c r="L54" s="166" t="n">
        <f aca="false">M54+N54</f>
        <v>0</v>
      </c>
      <c r="M54" s="166"/>
      <c r="N54" s="156"/>
      <c r="O54" s="168" t="n">
        <v>5</v>
      </c>
      <c r="P54" s="166"/>
      <c r="Q54" s="166" t="n">
        <f aca="false">R54+S54</f>
        <v>0</v>
      </c>
      <c r="R54" s="166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17"/>
      <c r="B55" s="18" t="s">
        <v>266</v>
      </c>
      <c r="C55" s="19" t="s">
        <v>20</v>
      </c>
      <c r="D55" s="19"/>
      <c r="E55" s="19" t="s">
        <v>267</v>
      </c>
      <c r="F55" s="20"/>
      <c r="G55" s="146" t="s">
        <v>22</v>
      </c>
      <c r="H55" s="173" t="n">
        <v>1</v>
      </c>
      <c r="I55" s="148"/>
      <c r="J55" s="148"/>
      <c r="K55" s="149"/>
      <c r="L55" s="149" t="n">
        <f aca="false">M55+N55</f>
        <v>0</v>
      </c>
      <c r="M55" s="149"/>
      <c r="N55" s="190"/>
      <c r="O55" s="206"/>
      <c r="P55" s="149"/>
      <c r="Q55" s="149" t="n">
        <f aca="false">R55+S55</f>
        <v>0</v>
      </c>
      <c r="R55" s="149"/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" hidden="false" customHeight="false" outlineLevel="0" collapsed="false">
      <c r="A56" s="17"/>
      <c r="B56" s="18"/>
      <c r="C56" s="18"/>
      <c r="D56" s="18"/>
      <c r="E56" s="18"/>
      <c r="F56" s="26" t="s">
        <v>268</v>
      </c>
      <c r="G56" s="152" t="s">
        <v>26</v>
      </c>
      <c r="H56" s="174" t="n">
        <v>4</v>
      </c>
      <c r="I56" s="154" t="n">
        <v>2</v>
      </c>
      <c r="J56" s="154" t="n">
        <v>2</v>
      </c>
      <c r="K56" s="155" t="n">
        <v>1233.4</v>
      </c>
      <c r="L56" s="155" t="n">
        <f aca="false">M56+N56</f>
        <v>0</v>
      </c>
      <c r="M56" s="155"/>
      <c r="N56" s="156"/>
      <c r="O56" s="209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54"/>
      <c r="B57" s="55" t="s">
        <v>155</v>
      </c>
      <c r="C57" s="56"/>
      <c r="D57" s="56"/>
      <c r="E57" s="56"/>
      <c r="F57" s="36"/>
      <c r="G57" s="158" t="s">
        <v>22</v>
      </c>
      <c r="H57" s="159" t="n">
        <v>11</v>
      </c>
      <c r="I57" s="160" t="n">
        <v>8</v>
      </c>
      <c r="J57" s="160" t="n">
        <v>8</v>
      </c>
      <c r="K57" s="161" t="n">
        <v>10651.29</v>
      </c>
      <c r="L57" s="161" t="n">
        <f aca="false">M57+N57</f>
        <v>5893.89</v>
      </c>
      <c r="M57" s="161" t="n">
        <v>5893.89</v>
      </c>
      <c r="N57" s="190"/>
      <c r="O57" s="163"/>
      <c r="P57" s="161"/>
      <c r="Q57" s="161" t="n">
        <f aca="false">R57+S57</f>
        <v>0</v>
      </c>
      <c r="R57" s="161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54"/>
      <c r="B58" s="55"/>
      <c r="C58" s="55"/>
      <c r="D58" s="55"/>
      <c r="E58" s="55"/>
      <c r="F58" s="71"/>
      <c r="G58" s="164" t="s">
        <v>26</v>
      </c>
      <c r="H58" s="177"/>
      <c r="I58" s="165"/>
      <c r="J58" s="165"/>
      <c r="K58" s="166"/>
      <c r="L58" s="166" t="n">
        <f aca="false">M58+N58</f>
        <v>0</v>
      </c>
      <c r="M58" s="166"/>
      <c r="N58" s="156"/>
      <c r="O58" s="168"/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221</v>
      </c>
      <c r="C59" s="19" t="s">
        <v>20</v>
      </c>
      <c r="D59" s="19"/>
      <c r="E59" s="19" t="s">
        <v>278</v>
      </c>
      <c r="F59" s="20"/>
      <c r="G59" s="146" t="s">
        <v>22</v>
      </c>
      <c r="H59" s="173" t="n">
        <v>7</v>
      </c>
      <c r="I59" s="148" t="n">
        <v>2</v>
      </c>
      <c r="J59" s="148" t="n">
        <v>2</v>
      </c>
      <c r="K59" s="149" t="n">
        <v>5127.42</v>
      </c>
      <c r="L59" s="149" t="n">
        <f aca="false">M59+N59</f>
        <v>3717.82</v>
      </c>
      <c r="M59" s="149" t="n">
        <v>3717.82</v>
      </c>
      <c r="N59" s="190"/>
      <c r="O59" s="151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233</v>
      </c>
      <c r="G60" s="152" t="s">
        <v>23</v>
      </c>
      <c r="H60" s="174" t="n">
        <v>5</v>
      </c>
      <c r="I60" s="154" t="n">
        <v>5</v>
      </c>
      <c r="J60" s="154" t="n">
        <v>5</v>
      </c>
      <c r="K60" s="155" t="n">
        <v>4052.6</v>
      </c>
      <c r="L60" s="155" t="n">
        <f aca="false">M60+N60</f>
        <v>0</v>
      </c>
      <c r="M60" s="155"/>
      <c r="N60" s="156"/>
      <c r="O60" s="157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33"/>
      <c r="B61" s="34" t="s">
        <v>58</v>
      </c>
      <c r="C61" s="35" t="s">
        <v>20</v>
      </c>
      <c r="D61" s="35"/>
      <c r="E61" s="35" t="s">
        <v>52</v>
      </c>
      <c r="F61" s="36"/>
      <c r="G61" s="158" t="s">
        <v>22</v>
      </c>
      <c r="H61" s="159" t="n">
        <v>9</v>
      </c>
      <c r="I61" s="160" t="n">
        <v>4</v>
      </c>
      <c r="J61" s="160" t="n">
        <v>7</v>
      </c>
      <c r="K61" s="161" t="n">
        <v>12569.67</v>
      </c>
      <c r="L61" s="161" t="n">
        <f aca="false">M61+N61</f>
        <v>7830.33</v>
      </c>
      <c r="M61" s="161" t="n">
        <v>2238.62</v>
      </c>
      <c r="N61" s="190" t="n">
        <v>5591.71</v>
      </c>
      <c r="O61" s="163" t="n">
        <v>9</v>
      </c>
      <c r="P61" s="161" t="n">
        <v>47058.66</v>
      </c>
      <c r="Q61" s="161" t="n">
        <f aca="false">R61+S61</f>
        <v>39387.3</v>
      </c>
      <c r="R61" s="161" t="n">
        <v>39387.3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33"/>
      <c r="B62" s="34"/>
      <c r="C62" s="34"/>
      <c r="D62" s="34"/>
      <c r="E62" s="34"/>
      <c r="F62" s="71"/>
      <c r="G62" s="164" t="s">
        <v>26</v>
      </c>
      <c r="H62" s="175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269</v>
      </c>
      <c r="C63" s="19"/>
      <c r="D63" s="49"/>
      <c r="E63" s="19"/>
      <c r="F63" s="22"/>
      <c r="G63" s="146" t="s">
        <v>22</v>
      </c>
      <c r="H63" s="147" t="n">
        <v>4</v>
      </c>
      <c r="I63" s="148"/>
      <c r="J63" s="148"/>
      <c r="K63" s="149"/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/>
      <c r="G64" s="152" t="s">
        <v>26</v>
      </c>
      <c r="H64" s="176"/>
      <c r="I64" s="154"/>
      <c r="J64" s="154"/>
      <c r="K64" s="155"/>
      <c r="L64" s="155" t="n">
        <f aca="false">M64+N64</f>
        <v>0</v>
      </c>
      <c r="M64" s="155"/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222</v>
      </c>
      <c r="C65" s="56" t="s">
        <v>20</v>
      </c>
      <c r="D65" s="78"/>
      <c r="E65" s="56" t="s">
        <v>279</v>
      </c>
      <c r="F65" s="38"/>
      <c r="G65" s="158" t="s">
        <v>22</v>
      </c>
      <c r="H65" s="169" t="n">
        <v>16</v>
      </c>
      <c r="I65" s="160" t="n">
        <v>1</v>
      </c>
      <c r="J65" s="160" t="n">
        <v>1</v>
      </c>
      <c r="K65" s="161" t="n">
        <v>3383.04</v>
      </c>
      <c r="L65" s="161" t="n">
        <f aca="false">M65+N65</f>
        <v>3383.04</v>
      </c>
      <c r="M65" s="161" t="n">
        <v>3383.04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42" t="s">
        <v>234</v>
      </c>
      <c r="G66" s="164" t="s">
        <v>23</v>
      </c>
      <c r="H66" s="178" t="n">
        <v>3</v>
      </c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249</v>
      </c>
      <c r="C67" s="19"/>
      <c r="D67" s="49"/>
      <c r="E67" s="19"/>
      <c r="F67" s="22"/>
      <c r="G67" s="146" t="s">
        <v>22</v>
      </c>
      <c r="H67" s="147"/>
      <c r="I67" s="148"/>
      <c r="J67" s="148"/>
      <c r="K67" s="149"/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23" t="s">
        <v>250</v>
      </c>
      <c r="G68" s="152" t="s">
        <v>26</v>
      </c>
      <c r="H68" s="176" t="n">
        <v>3</v>
      </c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59</v>
      </c>
      <c r="C69" s="35" t="s">
        <v>20</v>
      </c>
      <c r="D69" s="95"/>
      <c r="E69" s="35" t="s">
        <v>25</v>
      </c>
      <c r="F69" s="38"/>
      <c r="G69" s="158" t="s">
        <v>22</v>
      </c>
      <c r="H69" s="169"/>
      <c r="I69" s="160"/>
      <c r="J69" s="160"/>
      <c r="K69" s="161"/>
      <c r="L69" s="161" t="n">
        <f aca="false">M69+N69</f>
        <v>0</v>
      </c>
      <c r="M69" s="161"/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60</v>
      </c>
      <c r="C71" s="19" t="s">
        <v>20</v>
      </c>
      <c r="D71" s="19"/>
      <c r="E71" s="19" t="s">
        <v>21</v>
      </c>
      <c r="F71" s="22"/>
      <c r="G71" s="146" t="s">
        <v>22</v>
      </c>
      <c r="H71" s="169" t="n">
        <v>2</v>
      </c>
      <c r="I71" s="148"/>
      <c r="J71" s="148"/>
      <c r="K71" s="149"/>
      <c r="L71" s="149" t="n">
        <f aca="false">M71+N71</f>
        <v>0</v>
      </c>
      <c r="M71" s="149"/>
      <c r="N71" s="190"/>
      <c r="O71" s="151" t="n">
        <v>1</v>
      </c>
      <c r="P71" s="149" t="n">
        <v>881</v>
      </c>
      <c r="Q71" s="149" t="n">
        <f aca="false">R71+S71</f>
        <v>881</v>
      </c>
      <c r="R71" s="149" t="n">
        <v>881</v>
      </c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71"/>
      <c r="G72" s="164" t="s">
        <v>23</v>
      </c>
      <c r="H72" s="175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.75" hidden="false" customHeight="true" outlineLevel="0" collapsed="false">
      <c r="A73" s="17"/>
      <c r="B73" s="18" t="s">
        <v>223</v>
      </c>
      <c r="C73" s="19" t="s">
        <v>33</v>
      </c>
      <c r="D73" s="19" t="s">
        <v>280</v>
      </c>
      <c r="E73" s="19" t="s">
        <v>259</v>
      </c>
      <c r="F73" s="20"/>
      <c r="G73" s="146" t="s">
        <v>22</v>
      </c>
      <c r="H73" s="173" t="n">
        <v>9</v>
      </c>
      <c r="I73" s="148" t="n">
        <v>1</v>
      </c>
      <c r="J73" s="148" t="n">
        <v>1</v>
      </c>
      <c r="K73" s="149" t="n">
        <v>845.76</v>
      </c>
      <c r="L73" s="149" t="n">
        <f aca="false">M73+N73</f>
        <v>0</v>
      </c>
      <c r="M73" s="149"/>
      <c r="N73" s="190"/>
      <c r="O73" s="151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26" t="s">
        <v>235</v>
      </c>
      <c r="G74" s="152" t="s">
        <v>23</v>
      </c>
      <c r="H74" s="174" t="n">
        <v>22</v>
      </c>
      <c r="I74" s="154" t="n">
        <v>9</v>
      </c>
      <c r="J74" s="154" t="n">
        <v>9</v>
      </c>
      <c r="K74" s="155" t="n">
        <v>10437.2</v>
      </c>
      <c r="L74" s="155" t="n">
        <v>7075.6</v>
      </c>
      <c r="M74" s="155" t="n">
        <v>7075.6</v>
      </c>
      <c r="N74" s="156"/>
      <c r="O74" s="157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33"/>
      <c r="B75" s="34" t="s">
        <v>61</v>
      </c>
      <c r="C75" s="35" t="s">
        <v>33</v>
      </c>
      <c r="D75" s="56" t="s">
        <v>62</v>
      </c>
      <c r="E75" s="35" t="s">
        <v>25</v>
      </c>
      <c r="F75" s="36"/>
      <c r="G75" s="158" t="s">
        <v>22</v>
      </c>
      <c r="H75" s="159" t="n">
        <v>4</v>
      </c>
      <c r="I75" s="160" t="n">
        <v>3</v>
      </c>
      <c r="J75" s="160" t="n">
        <v>3</v>
      </c>
      <c r="K75" s="161" t="n">
        <v>4510.72</v>
      </c>
      <c r="L75" s="161" t="n">
        <f aca="false">M75+N75</f>
        <v>4510.72</v>
      </c>
      <c r="M75" s="161" t="n">
        <v>4510.72</v>
      </c>
      <c r="N75" s="190"/>
      <c r="O75" s="163" t="n">
        <v>1</v>
      </c>
      <c r="P75" s="161" t="n">
        <v>5123.54</v>
      </c>
      <c r="Q75" s="161" t="n">
        <f aca="false">R75+S75</f>
        <v>5123.54</v>
      </c>
      <c r="R75" s="161" t="n">
        <v>5123.54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56"/>
      <c r="E76" s="35"/>
      <c r="F76" s="42" t="s">
        <v>173</v>
      </c>
      <c r="G76" s="164" t="s">
        <v>26</v>
      </c>
      <c r="H76" s="153" t="n">
        <v>2</v>
      </c>
      <c r="I76" s="165" t="n">
        <v>2</v>
      </c>
      <c r="J76" s="165" t="n">
        <v>2</v>
      </c>
      <c r="K76" s="166" t="n">
        <v>1409.6</v>
      </c>
      <c r="L76" s="166" t="n">
        <f aca="false">M76+N76</f>
        <v>704.8</v>
      </c>
      <c r="M76" s="166"/>
      <c r="N76" s="156" t="n">
        <v>704.8</v>
      </c>
      <c r="O76" s="168" t="n">
        <v>2</v>
      </c>
      <c r="P76" s="166" t="n">
        <v>3171.6</v>
      </c>
      <c r="Q76" s="166" t="n">
        <f aca="false">R76+S76</f>
        <v>2907.3</v>
      </c>
      <c r="R76" s="166"/>
      <c r="S76" s="156" t="n">
        <v>2907.3</v>
      </c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72"/>
      <c r="B77" s="73" t="s">
        <v>63</v>
      </c>
      <c r="C77" s="74" t="s">
        <v>20</v>
      </c>
      <c r="D77" s="74"/>
      <c r="E77" s="74" t="s">
        <v>25</v>
      </c>
      <c r="F77" s="20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1162.92</v>
      </c>
      <c r="L77" s="149" t="n">
        <f aca="false">M77+N77</f>
        <v>1162.92</v>
      </c>
      <c r="M77" s="149"/>
      <c r="N77" s="190" t="n">
        <v>1162.92</v>
      </c>
      <c r="O77" s="151" t="n">
        <v>8</v>
      </c>
      <c r="P77" s="149" t="n">
        <v>28069.07</v>
      </c>
      <c r="Q77" s="149" t="n">
        <f aca="false">R77+S77</f>
        <v>28069.07</v>
      </c>
      <c r="R77" s="149" t="n">
        <v>16379.75</v>
      </c>
      <c r="S77" s="190" t="n">
        <v>11689.32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72"/>
      <c r="B78" s="73"/>
      <c r="C78" s="73"/>
      <c r="D78" s="73"/>
      <c r="E78" s="73"/>
      <c r="F78" s="42" t="s">
        <v>174</v>
      </c>
      <c r="G78" s="164" t="s">
        <v>26</v>
      </c>
      <c r="H78" s="153" t="n">
        <v>3</v>
      </c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72"/>
      <c r="B79" s="73" t="s">
        <v>64</v>
      </c>
      <c r="C79" s="74" t="s">
        <v>20</v>
      </c>
      <c r="D79" s="74"/>
      <c r="E79" s="74" t="s">
        <v>25</v>
      </c>
      <c r="F79" s="20"/>
      <c r="G79" s="146" t="s">
        <v>22</v>
      </c>
      <c r="H79" s="169"/>
      <c r="I79" s="148"/>
      <c r="J79" s="148"/>
      <c r="K79" s="149"/>
      <c r="L79" s="149" t="n">
        <f aca="false">M79+N79</f>
        <v>0</v>
      </c>
      <c r="M79" s="149"/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71"/>
      <c r="G80" s="164" t="s">
        <v>26</v>
      </c>
      <c r="H80" s="153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65</v>
      </c>
      <c r="C81" s="19" t="s">
        <v>33</v>
      </c>
      <c r="D81" s="19" t="s">
        <v>66</v>
      </c>
      <c r="E81" s="19" t="s">
        <v>67</v>
      </c>
      <c r="F81" s="20"/>
      <c r="G81" s="146" t="s">
        <v>22</v>
      </c>
      <c r="H81" s="159" t="n">
        <v>7</v>
      </c>
      <c r="I81" s="148" t="n">
        <v>2</v>
      </c>
      <c r="J81" s="148" t="n">
        <v>3</v>
      </c>
      <c r="K81" s="149" t="n">
        <v>3057.07</v>
      </c>
      <c r="L81" s="149" t="n">
        <f aca="false">M81+N81</f>
        <v>3057.07</v>
      </c>
      <c r="M81" s="149" t="n">
        <v>1573.47</v>
      </c>
      <c r="N81" s="190" t="n">
        <v>1483.6</v>
      </c>
      <c r="O81" s="151" t="n">
        <v>5</v>
      </c>
      <c r="P81" s="149" t="n">
        <v>14207.76</v>
      </c>
      <c r="Q81" s="149" t="n">
        <f aca="false">R81+S81</f>
        <v>14207.76</v>
      </c>
      <c r="R81" s="149" t="n">
        <v>8219.9</v>
      </c>
      <c r="S81" s="190" t="n">
        <v>5987.86</v>
      </c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42" t="s">
        <v>236</v>
      </c>
      <c r="G82" s="164" t="s">
        <v>23</v>
      </c>
      <c r="H82" s="172" t="n">
        <v>33</v>
      </c>
      <c r="I82" s="165" t="n">
        <v>25</v>
      </c>
      <c r="J82" s="165" t="n">
        <v>25</v>
      </c>
      <c r="K82" s="166" t="n">
        <v>27515.8</v>
      </c>
      <c r="L82" s="166" t="n">
        <v>3524</v>
      </c>
      <c r="M82" s="166" t="n">
        <v>3524</v>
      </c>
      <c r="N82" s="156"/>
      <c r="O82" s="168" t="n">
        <v>28</v>
      </c>
      <c r="P82" s="166" t="n">
        <v>67367.42</v>
      </c>
      <c r="Q82" s="166" t="n">
        <v>30232.1</v>
      </c>
      <c r="R82" s="166" t="n">
        <v>30232.1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17"/>
      <c r="B83" s="18" t="s">
        <v>175</v>
      </c>
      <c r="C83" s="19"/>
      <c r="D83" s="19"/>
      <c r="E83" s="19"/>
      <c r="F83" s="137"/>
      <c r="G83" s="146" t="s">
        <v>22</v>
      </c>
      <c r="H83" s="147" t="n">
        <v>5</v>
      </c>
      <c r="I83" s="148" t="n">
        <v>2</v>
      </c>
      <c r="J83" s="148" t="n">
        <v>3</v>
      </c>
      <c r="K83" s="149" t="n">
        <v>5340.62</v>
      </c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" hidden="false" customHeight="false" outlineLevel="0" collapsed="false">
      <c r="A84" s="17"/>
      <c r="B84" s="18"/>
      <c r="C84" s="18"/>
      <c r="D84" s="18"/>
      <c r="E84" s="18"/>
      <c r="F84" s="89"/>
      <c r="G84" s="164" t="s">
        <v>26</v>
      </c>
      <c r="H84" s="178" t="n">
        <v>6</v>
      </c>
      <c r="I84" s="165" t="n">
        <v>3</v>
      </c>
      <c r="J84" s="165" t="n">
        <v>3</v>
      </c>
      <c r="K84" s="166" t="n">
        <v>6343.2</v>
      </c>
      <c r="L84" s="166" t="n">
        <f aca="false">M84+N84</f>
        <v>2290.6</v>
      </c>
      <c r="M84" s="166"/>
      <c r="N84" s="156" t="n">
        <v>2290.6</v>
      </c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68</v>
      </c>
      <c r="C85" s="19" t="s">
        <v>20</v>
      </c>
      <c r="D85" s="19"/>
      <c r="E85" s="19" t="s">
        <v>69</v>
      </c>
      <c r="F85" s="22"/>
      <c r="G85" s="146" t="s">
        <v>22</v>
      </c>
      <c r="H85" s="147" t="n">
        <v>5</v>
      </c>
      <c r="I85" s="148" t="n">
        <v>2</v>
      </c>
      <c r="J85" s="148" t="n">
        <v>2</v>
      </c>
      <c r="K85" s="149" t="n">
        <v>4105.29</v>
      </c>
      <c r="L85" s="149" t="n">
        <f aca="false">M85+N85</f>
        <v>4105.29</v>
      </c>
      <c r="M85" s="149" t="n">
        <v>888.19</v>
      </c>
      <c r="N85" s="190" t="n">
        <v>3217.1</v>
      </c>
      <c r="O85" s="151" t="n">
        <v>13</v>
      </c>
      <c r="P85" s="149" t="n">
        <v>44101.84</v>
      </c>
      <c r="Q85" s="149" t="n">
        <f aca="false">R85+S85</f>
        <v>21614.18</v>
      </c>
      <c r="R85" s="149" t="n">
        <v>19442.54</v>
      </c>
      <c r="S85" s="190" t="n">
        <v>2171.64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26" t="s">
        <v>176</v>
      </c>
      <c r="G86" s="152" t="s">
        <v>26</v>
      </c>
      <c r="H86" s="153" t="n">
        <v>5</v>
      </c>
      <c r="I86" s="154" t="n">
        <v>2</v>
      </c>
      <c r="J86" s="154" t="n">
        <v>2</v>
      </c>
      <c r="K86" s="235" t="n">
        <v>4304</v>
      </c>
      <c r="L86" s="155" t="n">
        <f aca="false">M86+N86</f>
        <v>2819.2</v>
      </c>
      <c r="M86" s="155"/>
      <c r="N86" s="156" t="n">
        <v>2819.2</v>
      </c>
      <c r="O86" s="157"/>
      <c r="P86" s="155" t="n">
        <v>5462.2</v>
      </c>
      <c r="Q86" s="155" t="n">
        <f aca="false">R86+S86</f>
        <v>4405</v>
      </c>
      <c r="R86" s="155"/>
      <c r="S86" s="156" t="n">
        <v>4405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54"/>
      <c r="B87" s="55" t="s">
        <v>70</v>
      </c>
      <c r="C87" s="56" t="s">
        <v>20</v>
      </c>
      <c r="D87" s="56" t="s">
        <v>71</v>
      </c>
      <c r="E87" s="56" t="s">
        <v>25</v>
      </c>
      <c r="F87" s="36"/>
      <c r="G87" s="158" t="s">
        <v>22</v>
      </c>
      <c r="H87" s="169" t="n">
        <v>1</v>
      </c>
      <c r="I87" s="160"/>
      <c r="J87" s="160"/>
      <c r="K87" s="161"/>
      <c r="L87" s="161" t="n">
        <f aca="false">M87+N87</f>
        <v>0</v>
      </c>
      <c r="M87" s="161"/>
      <c r="N87" s="190"/>
      <c r="O87" s="163" t="n">
        <v>4</v>
      </c>
      <c r="P87" s="161" t="n">
        <v>27231.45</v>
      </c>
      <c r="Q87" s="161" t="n">
        <f aca="false">R87+S87</f>
        <v>7836.01</v>
      </c>
      <c r="R87" s="161" t="n">
        <v>5521.12</v>
      </c>
      <c r="S87" s="190" t="n">
        <v>2314.89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54"/>
      <c r="B88" s="55"/>
      <c r="C88" s="55"/>
      <c r="D88" s="55"/>
      <c r="E88" s="55"/>
      <c r="F88" s="26" t="s">
        <v>177</v>
      </c>
      <c r="G88" s="152" t="s">
        <v>26</v>
      </c>
      <c r="H88" s="153" t="n">
        <v>6</v>
      </c>
      <c r="I88" s="154" t="n">
        <v>1</v>
      </c>
      <c r="J88" s="154" t="n">
        <v>1</v>
      </c>
      <c r="K88" s="155" t="n">
        <v>1409.6</v>
      </c>
      <c r="L88" s="155" t="n">
        <f aca="false">M88+N88</f>
        <v>0</v>
      </c>
      <c r="M88" s="155"/>
      <c r="N88" s="156"/>
      <c r="O88" s="157"/>
      <c r="P88" s="155"/>
      <c r="Q88" s="155" t="n">
        <f aca="false">R88+S88</f>
        <v>0</v>
      </c>
      <c r="R88" s="155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33"/>
      <c r="B89" s="34" t="s">
        <v>72</v>
      </c>
      <c r="C89" s="35" t="s">
        <v>20</v>
      </c>
      <c r="D89" s="35"/>
      <c r="E89" s="35" t="s">
        <v>52</v>
      </c>
      <c r="F89" s="36"/>
      <c r="G89" s="146" t="s">
        <v>22</v>
      </c>
      <c r="H89" s="159" t="n">
        <v>3</v>
      </c>
      <c r="I89" s="160" t="n">
        <v>1</v>
      </c>
      <c r="J89" s="160" t="n">
        <v>1</v>
      </c>
      <c r="K89" s="161" t="n">
        <v>2948.8</v>
      </c>
      <c r="L89" s="161" t="n">
        <f aca="false">M89+N89</f>
        <v>2948.8</v>
      </c>
      <c r="M89" s="161"/>
      <c r="N89" s="190" t="n">
        <v>2948.8</v>
      </c>
      <c r="O89" s="163" t="n">
        <v>5</v>
      </c>
      <c r="P89" s="161" t="n">
        <v>34297.64</v>
      </c>
      <c r="Q89" s="161" t="n">
        <f aca="false">R89+S89</f>
        <v>34299.64</v>
      </c>
      <c r="R89" s="161" t="n">
        <v>27324.13</v>
      </c>
      <c r="S89" s="190" t="n">
        <v>6975.51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33"/>
      <c r="B90" s="34"/>
      <c r="C90" s="34"/>
      <c r="D90" s="34"/>
      <c r="E90" s="34"/>
      <c r="F90" s="42" t="s">
        <v>178</v>
      </c>
      <c r="G90" s="164" t="s">
        <v>26</v>
      </c>
      <c r="H90" s="171" t="n">
        <v>3</v>
      </c>
      <c r="I90" s="165" t="n">
        <v>1</v>
      </c>
      <c r="J90" s="165" t="n">
        <v>1</v>
      </c>
      <c r="K90" s="166" t="n">
        <v>704.8</v>
      </c>
      <c r="L90" s="161" t="n">
        <f aca="false">M90+N90</f>
        <v>704.8</v>
      </c>
      <c r="M90" s="166" t="n">
        <v>0</v>
      </c>
      <c r="N90" s="156" t="n">
        <v>704.8</v>
      </c>
      <c r="O90" s="168" t="n">
        <v>3</v>
      </c>
      <c r="P90" s="166" t="n">
        <v>11108.48</v>
      </c>
      <c r="Q90" s="166" t="n">
        <f aca="false">R90+S90</f>
        <v>11989.48</v>
      </c>
      <c r="R90" s="166" t="n">
        <f aca="false">3347.8+8641.68</f>
        <v>11989.48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73</v>
      </c>
      <c r="C91" s="19" t="s">
        <v>20</v>
      </c>
      <c r="D91" s="19"/>
      <c r="E91" s="19" t="s">
        <v>52</v>
      </c>
      <c r="F91" s="20"/>
      <c r="G91" s="146" t="s">
        <v>22</v>
      </c>
      <c r="H91" s="159" t="n">
        <v>4</v>
      </c>
      <c r="I91" s="148" t="n">
        <v>2</v>
      </c>
      <c r="J91" s="148" t="n">
        <v>2</v>
      </c>
      <c r="K91" s="149" t="n">
        <v>2277.26</v>
      </c>
      <c r="L91" s="149" t="n">
        <f aca="false">M91+N91</f>
        <v>2277.26</v>
      </c>
      <c r="M91" s="149" t="n">
        <v>2277.26</v>
      </c>
      <c r="N91" s="190"/>
      <c r="O91" s="151" t="n">
        <v>3</v>
      </c>
      <c r="P91" s="149" t="n">
        <v>10069.05</v>
      </c>
      <c r="Q91" s="149" t="n">
        <f aca="false">R91+S91</f>
        <v>10069.05</v>
      </c>
      <c r="R91" s="149" t="n">
        <v>10069.05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179</v>
      </c>
      <c r="G92" s="152" t="s">
        <v>26</v>
      </c>
      <c r="H92" s="153" t="n">
        <v>6</v>
      </c>
      <c r="I92" s="154" t="n">
        <v>3</v>
      </c>
      <c r="J92" s="154" t="n">
        <v>3</v>
      </c>
      <c r="K92" s="155" t="n">
        <v>8454.6</v>
      </c>
      <c r="L92" s="155" t="n">
        <f aca="false">M92+N92</f>
        <v>5109.8</v>
      </c>
      <c r="M92" s="155" t="n">
        <v>2290.6</v>
      </c>
      <c r="N92" s="156" t="n">
        <v>2819.2</v>
      </c>
      <c r="O92" s="157" t="n">
        <v>2</v>
      </c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33"/>
      <c r="B93" s="34" t="s">
        <v>74</v>
      </c>
      <c r="C93" s="35" t="s">
        <v>33</v>
      </c>
      <c r="D93" s="35" t="s">
        <v>75</v>
      </c>
      <c r="E93" s="35" t="s">
        <v>25</v>
      </c>
      <c r="F93" s="36"/>
      <c r="G93" s="146" t="s">
        <v>22</v>
      </c>
      <c r="H93" s="159" t="n">
        <v>23</v>
      </c>
      <c r="I93" s="160" t="n">
        <v>15</v>
      </c>
      <c r="J93" s="160" t="n">
        <v>16</v>
      </c>
      <c r="K93" s="161" t="n">
        <v>21031.86</v>
      </c>
      <c r="L93" s="161" t="n">
        <f aca="false">M93+N93</f>
        <v>11782.59</v>
      </c>
      <c r="M93" s="161" t="n">
        <v>10561.52</v>
      </c>
      <c r="N93" s="190" t="n">
        <v>1221.07</v>
      </c>
      <c r="O93" s="163" t="n">
        <v>22</v>
      </c>
      <c r="P93" s="161" t="n">
        <v>54906.32</v>
      </c>
      <c r="Q93" s="161" t="n">
        <f aca="false">R93+S93</f>
        <v>42638.01</v>
      </c>
      <c r="R93" s="161" t="n">
        <v>40347.41</v>
      </c>
      <c r="S93" s="190" t="n">
        <v>2290.6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270</v>
      </c>
      <c r="G94" s="164" t="s">
        <v>26</v>
      </c>
      <c r="H94" s="153"/>
      <c r="I94" s="165"/>
      <c r="J94" s="165"/>
      <c r="K94" s="166"/>
      <c r="L94" s="166" t="n">
        <f aca="false">M94+N94</f>
        <v>0</v>
      </c>
      <c r="M94" s="166"/>
      <c r="N94" s="156"/>
      <c r="O94" s="168" t="n">
        <v>5</v>
      </c>
      <c r="P94" s="166" t="n">
        <v>15858</v>
      </c>
      <c r="Q94" s="166" t="n">
        <f aca="false">R94+S94</f>
        <v>21936.9</v>
      </c>
      <c r="R94" s="166" t="n">
        <v>1585.8</v>
      </c>
      <c r="S94" s="156" t="n">
        <v>20351.1</v>
      </c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72"/>
      <c r="B95" s="73" t="s">
        <v>76</v>
      </c>
      <c r="C95" s="74" t="s">
        <v>20</v>
      </c>
      <c r="D95" s="74" t="s">
        <v>180</v>
      </c>
      <c r="E95" s="74" t="s">
        <v>25</v>
      </c>
      <c r="F95" s="20"/>
      <c r="G95" s="146" t="s">
        <v>22</v>
      </c>
      <c r="H95" s="159" t="n">
        <v>13</v>
      </c>
      <c r="I95" s="148" t="n">
        <v>9</v>
      </c>
      <c r="J95" s="148" t="n">
        <v>9</v>
      </c>
      <c r="K95" s="149" t="n">
        <v>5563.84</v>
      </c>
      <c r="L95" s="149" t="n">
        <f aca="false">M95+N95</f>
        <v>5035.24</v>
      </c>
      <c r="M95" s="149" t="n">
        <v>5035.24</v>
      </c>
      <c r="N95" s="190"/>
      <c r="O95" s="151" t="n">
        <v>2</v>
      </c>
      <c r="P95" s="149" t="n">
        <v>12380.09</v>
      </c>
      <c r="Q95" s="149" t="n">
        <f aca="false">R95+S95</f>
        <v>12380.09</v>
      </c>
      <c r="R95" s="149" t="n">
        <v>12380.09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72"/>
      <c r="B96" s="73"/>
      <c r="C96" s="73"/>
      <c r="D96" s="73"/>
      <c r="E96" s="73"/>
      <c r="F96" s="42" t="s">
        <v>181</v>
      </c>
      <c r="G96" s="164" t="s">
        <v>26</v>
      </c>
      <c r="H96" s="171" t="n">
        <v>5</v>
      </c>
      <c r="I96" s="165"/>
      <c r="J96" s="165"/>
      <c r="K96" s="166"/>
      <c r="L96" s="166" t="n">
        <f aca="false">M96+N96</f>
        <v>0</v>
      </c>
      <c r="M96" s="166"/>
      <c r="N96" s="156"/>
      <c r="O96" s="168" t="n">
        <v>7</v>
      </c>
      <c r="P96" s="166" t="n">
        <v>8457.6</v>
      </c>
      <c r="Q96" s="166" t="n">
        <f aca="false">R96+S96</f>
        <v>6431.3</v>
      </c>
      <c r="R96" s="166" t="n">
        <f aca="false">1585.8</f>
        <v>1585.8</v>
      </c>
      <c r="S96" s="156" t="n">
        <v>4845.5</v>
      </c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77</v>
      </c>
      <c r="C97" s="19" t="s">
        <v>38</v>
      </c>
      <c r="D97" s="19" t="s">
        <v>78</v>
      </c>
      <c r="E97" s="19" t="s">
        <v>25</v>
      </c>
      <c r="F97" s="22"/>
      <c r="G97" s="146" t="s">
        <v>22</v>
      </c>
      <c r="H97" s="169" t="n">
        <v>8</v>
      </c>
      <c r="I97" s="148" t="n">
        <v>7</v>
      </c>
      <c r="J97" s="148" t="n">
        <v>7</v>
      </c>
      <c r="K97" s="149" t="n">
        <v>4148.63</v>
      </c>
      <c r="L97" s="149" t="n">
        <f aca="false">M97+N97</f>
        <v>4148.63</v>
      </c>
      <c r="M97" s="149" t="n">
        <v>4148.63</v>
      </c>
      <c r="N97" s="190"/>
      <c r="O97" s="151" t="n">
        <v>5</v>
      </c>
      <c r="P97" s="149" t="n">
        <v>8651.42</v>
      </c>
      <c r="Q97" s="149" t="n">
        <f aca="false">R97+S97</f>
        <v>8651.42</v>
      </c>
      <c r="R97" s="149" t="n">
        <v>8651.42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80" t="s">
        <v>182</v>
      </c>
      <c r="G98" s="180" t="s">
        <v>26</v>
      </c>
      <c r="H98" s="159" t="n">
        <v>5</v>
      </c>
      <c r="I98" s="181" t="n">
        <v>1</v>
      </c>
      <c r="J98" s="181" t="n">
        <v>1</v>
      </c>
      <c r="K98" s="182" t="n">
        <v>4581.2</v>
      </c>
      <c r="L98" s="182" t="n">
        <f aca="false">M98+N98</f>
        <v>0</v>
      </c>
      <c r="M98" s="182"/>
      <c r="N98" s="167"/>
      <c r="O98" s="184" t="n">
        <v>8</v>
      </c>
      <c r="P98" s="182" t="n">
        <v>19029.6</v>
      </c>
      <c r="Q98" s="182" t="n">
        <f aca="false">R98+S98</f>
        <v>8986.2</v>
      </c>
      <c r="R98" s="182" t="n">
        <f aca="false">1057.2+2290.6+1145.3</f>
        <v>4493.1</v>
      </c>
      <c r="S98" s="167" t="n">
        <v>4493.1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false" outlineLevel="0" collapsed="false">
      <c r="A99" s="17"/>
      <c r="B99" s="18"/>
      <c r="C99" s="18"/>
      <c r="D99" s="18"/>
      <c r="E99" s="18"/>
      <c r="F99" s="85" t="s">
        <v>237</v>
      </c>
      <c r="G99" s="185" t="s">
        <v>23</v>
      </c>
      <c r="H99" s="186" t="n">
        <v>2</v>
      </c>
      <c r="I99" s="154" t="n">
        <v>2</v>
      </c>
      <c r="J99" s="154" t="n">
        <v>2</v>
      </c>
      <c r="K99" s="155" t="n">
        <v>9338.6</v>
      </c>
      <c r="L99" s="155" t="n">
        <v>1585.8</v>
      </c>
      <c r="M99" s="155" t="n">
        <v>1585.8</v>
      </c>
      <c r="N99" s="156"/>
      <c r="O99" s="157" t="n">
        <v>4</v>
      </c>
      <c r="P99" s="155" t="n">
        <v>8281.4</v>
      </c>
      <c r="Q99" s="155" t="n">
        <v>7752.8</v>
      </c>
      <c r="R99" s="155" t="n">
        <v>7752.8</v>
      </c>
      <c r="S99" s="156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33"/>
      <c r="B100" s="34" t="s">
        <v>79</v>
      </c>
      <c r="C100" s="35" t="s">
        <v>20</v>
      </c>
      <c r="D100" s="35"/>
      <c r="E100" s="35" t="s">
        <v>52</v>
      </c>
      <c r="F100" s="38"/>
      <c r="G100" s="146" t="s">
        <v>22</v>
      </c>
      <c r="H100" s="159" t="n">
        <v>4</v>
      </c>
      <c r="I100" s="160" t="n">
        <v>2</v>
      </c>
      <c r="J100" s="160" t="n">
        <v>3</v>
      </c>
      <c r="K100" s="161" t="n">
        <v>5452.69</v>
      </c>
      <c r="L100" s="161" t="n">
        <f aca="false">M100+N100</f>
        <v>5452.69</v>
      </c>
      <c r="M100" s="161" t="n">
        <v>5452.69</v>
      </c>
      <c r="N100" s="190"/>
      <c r="O100" s="163" t="n">
        <v>8</v>
      </c>
      <c r="P100" s="161" t="n">
        <v>35917.6</v>
      </c>
      <c r="Q100" s="161" t="n">
        <f aca="false">R100+S100</f>
        <v>29718.63</v>
      </c>
      <c r="R100" s="161" t="n">
        <v>29718.63</v>
      </c>
      <c r="S100" s="19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42"/>
      <c r="G101" s="164" t="s">
        <v>26</v>
      </c>
      <c r="H101" s="153"/>
      <c r="I101" s="165"/>
      <c r="J101" s="165"/>
      <c r="K101" s="166"/>
      <c r="L101" s="166" t="n">
        <f aca="false">M101+N101</f>
        <v>0</v>
      </c>
      <c r="M101" s="166"/>
      <c r="N101" s="156"/>
      <c r="O101" s="168"/>
      <c r="P101" s="166"/>
      <c r="Q101" s="166" t="n">
        <f aca="false">R101+S101</f>
        <v>0</v>
      </c>
      <c r="R101" s="166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72"/>
      <c r="B102" s="73" t="s">
        <v>80</v>
      </c>
      <c r="C102" s="74" t="s">
        <v>20</v>
      </c>
      <c r="D102" s="74"/>
      <c r="E102" s="74" t="s">
        <v>81</v>
      </c>
      <c r="F102" s="20"/>
      <c r="G102" s="146" t="s">
        <v>22</v>
      </c>
      <c r="H102" s="159" t="n">
        <v>5</v>
      </c>
      <c r="I102" s="148" t="n">
        <v>3</v>
      </c>
      <c r="J102" s="148" t="n">
        <v>3</v>
      </c>
      <c r="K102" s="149" t="n">
        <v>5612.43</v>
      </c>
      <c r="L102" s="149" t="n">
        <f aca="false">M102+N102</f>
        <v>4345.8</v>
      </c>
      <c r="M102" s="149" t="n">
        <v>3473.61</v>
      </c>
      <c r="N102" s="190" t="n">
        <v>872.19</v>
      </c>
      <c r="O102" s="151"/>
      <c r="P102" s="149"/>
      <c r="Q102" s="149" t="n">
        <f aca="false">R102+S102</f>
        <v>0</v>
      </c>
      <c r="R102" s="149"/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72"/>
      <c r="B103" s="73"/>
      <c r="C103" s="73"/>
      <c r="D103" s="73"/>
      <c r="E103" s="73"/>
      <c r="F103" s="42" t="s">
        <v>183</v>
      </c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82</v>
      </c>
      <c r="C104" s="19" t="s">
        <v>20</v>
      </c>
      <c r="D104" s="19" t="s">
        <v>184</v>
      </c>
      <c r="E104" s="19" t="s">
        <v>25</v>
      </c>
      <c r="F104" s="22"/>
      <c r="G104" s="146" t="s">
        <v>22</v>
      </c>
      <c r="H104" s="159" t="n">
        <v>19</v>
      </c>
      <c r="I104" s="148" t="n">
        <v>17</v>
      </c>
      <c r="J104" s="148" t="n">
        <v>17</v>
      </c>
      <c r="K104" s="149" t="n">
        <v>12611.29</v>
      </c>
      <c r="L104" s="149" t="n">
        <f aca="false">M104+N104</f>
        <v>12611.29</v>
      </c>
      <c r="M104" s="149" t="n">
        <v>12611.29</v>
      </c>
      <c r="N104" s="190"/>
      <c r="O104" s="151" t="n">
        <v>2</v>
      </c>
      <c r="P104" s="149" t="n">
        <v>8372.97</v>
      </c>
      <c r="Q104" s="149" t="n">
        <f aca="false">R104+S104</f>
        <v>8372.97</v>
      </c>
      <c r="R104" s="149" t="n">
        <v>8372.97</v>
      </c>
      <c r="S104" s="19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42" t="s">
        <v>185</v>
      </c>
      <c r="G105" s="164" t="s">
        <v>26</v>
      </c>
      <c r="H105" s="175" t="n">
        <v>3</v>
      </c>
      <c r="I105" s="165" t="n">
        <v>1</v>
      </c>
      <c r="J105" s="165" t="n">
        <v>1</v>
      </c>
      <c r="K105" s="166" t="n">
        <v>2114.4</v>
      </c>
      <c r="L105" s="166" t="n">
        <f aca="false">M105+N105</f>
        <v>0</v>
      </c>
      <c r="M105" s="166"/>
      <c r="N105" s="156"/>
      <c r="O105" s="168" t="n">
        <v>1</v>
      </c>
      <c r="P105" s="166" t="n">
        <v>3171.6</v>
      </c>
      <c r="Q105" s="166" t="n">
        <f aca="false">R105+S105</f>
        <v>2643</v>
      </c>
      <c r="R105" s="166"/>
      <c r="S105" s="156" t="n">
        <v>2643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232"/>
      <c r="B106" s="233" t="s">
        <v>254</v>
      </c>
      <c r="C106" s="19" t="s">
        <v>20</v>
      </c>
      <c r="D106" s="19"/>
      <c r="E106" s="19" t="s">
        <v>25</v>
      </c>
      <c r="F106" s="20"/>
      <c r="G106" s="146" t="s">
        <v>22</v>
      </c>
      <c r="H106" s="173"/>
      <c r="I106" s="148"/>
      <c r="J106" s="148"/>
      <c r="K106" s="149"/>
      <c r="L106" s="149"/>
      <c r="M106" s="149"/>
      <c r="N106" s="190"/>
      <c r="O106" s="206"/>
      <c r="P106" s="149"/>
      <c r="Q106" s="149"/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232"/>
      <c r="B107" s="233"/>
      <c r="C107" s="19"/>
      <c r="D107" s="19"/>
      <c r="E107" s="19"/>
      <c r="F107" s="26" t="s">
        <v>271</v>
      </c>
      <c r="G107" s="152" t="s">
        <v>26</v>
      </c>
      <c r="H107" s="174" t="n">
        <v>4</v>
      </c>
      <c r="I107" s="154"/>
      <c r="J107" s="154"/>
      <c r="K107" s="155"/>
      <c r="L107" s="155"/>
      <c r="M107" s="155"/>
      <c r="N107" s="156"/>
      <c r="O107" s="209"/>
      <c r="P107" s="155"/>
      <c r="Q107" s="155"/>
      <c r="R107" s="155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54"/>
      <c r="B108" s="55" t="s">
        <v>83</v>
      </c>
      <c r="C108" s="56" t="s">
        <v>20</v>
      </c>
      <c r="D108" s="56"/>
      <c r="E108" s="56" t="s">
        <v>25</v>
      </c>
      <c r="F108" s="36"/>
      <c r="G108" s="158" t="s">
        <v>22</v>
      </c>
      <c r="H108" s="159" t="n">
        <v>10</v>
      </c>
      <c r="I108" s="160" t="n">
        <v>7</v>
      </c>
      <c r="J108" s="160" t="n">
        <v>7</v>
      </c>
      <c r="K108" s="161" t="n">
        <v>6281.55</v>
      </c>
      <c r="L108" s="161" t="n">
        <f aca="false">M108+N108</f>
        <v>6281.55</v>
      </c>
      <c r="M108" s="161" t="n">
        <v>6281.55</v>
      </c>
      <c r="N108" s="190"/>
      <c r="O108" s="163" t="n">
        <v>3</v>
      </c>
      <c r="P108" s="161" t="n">
        <v>10585.46</v>
      </c>
      <c r="Q108" s="161" t="n">
        <f aca="false">R108+S108</f>
        <v>10585.46</v>
      </c>
      <c r="R108" s="161" t="n">
        <v>5828.06</v>
      </c>
      <c r="S108" s="190" t="n">
        <v>4757.4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26" t="s">
        <v>186</v>
      </c>
      <c r="G109" s="152" t="s">
        <v>26</v>
      </c>
      <c r="H109" s="153" t="n">
        <v>4</v>
      </c>
      <c r="I109" s="154"/>
      <c r="J109" s="154"/>
      <c r="K109" s="155"/>
      <c r="L109" s="155" t="n">
        <f aca="false">M109+N109</f>
        <v>0</v>
      </c>
      <c r="M109" s="155"/>
      <c r="N109" s="156"/>
      <c r="O109" s="157" t="n">
        <v>4</v>
      </c>
      <c r="P109" s="155" t="n">
        <v>11805.4</v>
      </c>
      <c r="Q109" s="155" t="n">
        <f aca="false">R109+S109</f>
        <v>0</v>
      </c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33"/>
      <c r="B110" s="34" t="s">
        <v>84</v>
      </c>
      <c r="C110" s="35" t="s">
        <v>20</v>
      </c>
      <c r="D110" s="35"/>
      <c r="E110" s="35" t="s">
        <v>52</v>
      </c>
      <c r="F110" s="36"/>
      <c r="G110" s="146" t="s">
        <v>22</v>
      </c>
      <c r="H110" s="159" t="n">
        <v>22</v>
      </c>
      <c r="I110" s="160" t="n">
        <v>8</v>
      </c>
      <c r="J110" s="160" t="n">
        <v>10</v>
      </c>
      <c r="K110" s="161" t="n">
        <v>15942.05</v>
      </c>
      <c r="L110" s="161" t="n">
        <f aca="false">M110+N110</f>
        <v>12299.99</v>
      </c>
      <c r="M110" s="161" t="n">
        <v>1569.94</v>
      </c>
      <c r="N110" s="190" t="n">
        <v>10730.05</v>
      </c>
      <c r="O110" s="163" t="n">
        <v>20</v>
      </c>
      <c r="P110" s="161" t="n">
        <v>33342.82</v>
      </c>
      <c r="Q110" s="161" t="n">
        <f aca="false">R110+S110</f>
        <v>32814.22</v>
      </c>
      <c r="R110" s="161" t="n">
        <v>24550.45</v>
      </c>
      <c r="S110" s="190" t="n">
        <v>8263.77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71"/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/>
      <c r="P111" s="166"/>
      <c r="Q111" s="166" t="n">
        <f aca="false">R111+S111</f>
        <v>0</v>
      </c>
      <c r="R111" s="166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85</v>
      </c>
      <c r="C112" s="19" t="s">
        <v>20</v>
      </c>
      <c r="D112" s="19"/>
      <c r="E112" s="19" t="s">
        <v>25</v>
      </c>
      <c r="F112" s="87"/>
      <c r="G112" s="146" t="s">
        <v>22</v>
      </c>
      <c r="H112" s="169" t="n">
        <v>2</v>
      </c>
      <c r="I112" s="148" t="n">
        <v>1</v>
      </c>
      <c r="J112" s="148" t="n">
        <v>1</v>
      </c>
      <c r="K112" s="149" t="n">
        <v>528.6</v>
      </c>
      <c r="L112" s="149" t="n">
        <f aca="false">M112+N112</f>
        <v>528.6</v>
      </c>
      <c r="M112" s="149"/>
      <c r="N112" s="190" t="n">
        <v>528.6</v>
      </c>
      <c r="O112" s="151" t="n">
        <v>1</v>
      </c>
      <c r="P112" s="149" t="n">
        <v>1162.92</v>
      </c>
      <c r="Q112" s="149" t="n">
        <f aca="false">R112+S112</f>
        <v>1162.92</v>
      </c>
      <c r="R112" s="149"/>
      <c r="S112" s="190" t="n">
        <v>1162.92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88"/>
      <c r="G113" s="152" t="s">
        <v>26</v>
      </c>
      <c r="H113" s="153"/>
      <c r="I113" s="154"/>
      <c r="J113" s="154"/>
      <c r="K113" s="155"/>
      <c r="L113" s="155" t="n">
        <f aca="false">M113+N113</f>
        <v>0</v>
      </c>
      <c r="M113" s="155"/>
      <c r="N113" s="156"/>
      <c r="O113" s="157"/>
      <c r="P113" s="155"/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17"/>
      <c r="B114" s="73" t="s">
        <v>86</v>
      </c>
      <c r="C114" s="74" t="s">
        <v>33</v>
      </c>
      <c r="D114" s="74" t="s">
        <v>87</v>
      </c>
      <c r="E114" s="74" t="s">
        <v>88</v>
      </c>
      <c r="F114" s="20"/>
      <c r="G114" s="146" t="s">
        <v>22</v>
      </c>
      <c r="H114" s="169" t="n">
        <v>17</v>
      </c>
      <c r="I114" s="148" t="n">
        <v>12</v>
      </c>
      <c r="J114" s="148" t="n">
        <v>14</v>
      </c>
      <c r="K114" s="149" t="n">
        <v>15787.05</v>
      </c>
      <c r="L114" s="149" t="n">
        <f aca="false">M114+N114</f>
        <v>11020.18</v>
      </c>
      <c r="M114" s="149" t="n">
        <v>6747.33</v>
      </c>
      <c r="N114" s="190" t="n">
        <v>4272.85</v>
      </c>
      <c r="O114" s="151" t="n">
        <v>15</v>
      </c>
      <c r="P114" s="149" t="n">
        <v>19146</v>
      </c>
      <c r="Q114" s="149" t="n">
        <f aca="false">R114+S114</f>
        <v>12627.56</v>
      </c>
      <c r="R114" s="149" t="n">
        <v>8224.14</v>
      </c>
      <c r="S114" s="190" t="n">
        <v>4403.42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73"/>
      <c r="C115" s="73"/>
      <c r="D115" s="73"/>
      <c r="E115" s="73"/>
      <c r="F115" s="42" t="s">
        <v>238</v>
      </c>
      <c r="G115" s="164" t="s">
        <v>23</v>
      </c>
      <c r="H115" s="171" t="n">
        <v>18</v>
      </c>
      <c r="I115" s="165" t="n">
        <v>6</v>
      </c>
      <c r="J115" s="165" t="n">
        <v>6</v>
      </c>
      <c r="K115" s="166" t="n">
        <v>7752.8</v>
      </c>
      <c r="L115" s="166" t="n">
        <v>5990.8</v>
      </c>
      <c r="M115" s="166" t="n">
        <v>5990.8</v>
      </c>
      <c r="N115" s="156"/>
      <c r="O115" s="168" t="n">
        <v>10</v>
      </c>
      <c r="P115" s="166" t="n">
        <v>27222.9</v>
      </c>
      <c r="Q115" s="166" t="n">
        <v>20527.3</v>
      </c>
      <c r="R115" s="166" t="n">
        <v>20527.3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89</v>
      </c>
      <c r="C116" s="19" t="s">
        <v>20</v>
      </c>
      <c r="D116" s="19" t="s">
        <v>90</v>
      </c>
      <c r="E116" s="19" t="s">
        <v>42</v>
      </c>
      <c r="F116" s="20"/>
      <c r="G116" s="146" t="s">
        <v>22</v>
      </c>
      <c r="H116" s="159" t="n">
        <v>17</v>
      </c>
      <c r="I116" s="148" t="n">
        <v>5</v>
      </c>
      <c r="J116" s="148" t="n">
        <v>5</v>
      </c>
      <c r="K116" s="149" t="n">
        <v>17842.41</v>
      </c>
      <c r="L116" s="149" t="n">
        <f aca="false">M116+N116</f>
        <v>17842.41</v>
      </c>
      <c r="M116" s="149" t="n">
        <v>8527.08</v>
      </c>
      <c r="N116" s="190" t="n">
        <v>9315.33</v>
      </c>
      <c r="O116" s="151" t="n">
        <v>14</v>
      </c>
      <c r="P116" s="149" t="n">
        <v>48557.24</v>
      </c>
      <c r="Q116" s="149" t="n">
        <f aca="false">R116+S116</f>
        <v>51532.2</v>
      </c>
      <c r="R116" s="149" t="n">
        <v>24491.76</v>
      </c>
      <c r="S116" s="190" t="n">
        <v>27040.44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26" t="s">
        <v>239</v>
      </c>
      <c r="G117" s="152" t="s">
        <v>23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33"/>
      <c r="B118" s="34" t="s">
        <v>91</v>
      </c>
      <c r="C118" s="35" t="s">
        <v>33</v>
      </c>
      <c r="D118" s="35" t="s">
        <v>92</v>
      </c>
      <c r="E118" s="35" t="s">
        <v>25</v>
      </c>
      <c r="F118" s="38" t="s">
        <v>239</v>
      </c>
      <c r="G118" s="146" t="s">
        <v>22</v>
      </c>
      <c r="H118" s="159" t="n">
        <v>17</v>
      </c>
      <c r="I118" s="160" t="n">
        <v>5</v>
      </c>
      <c r="J118" s="160" t="n">
        <v>5</v>
      </c>
      <c r="K118" s="161" t="n">
        <v>11259.18</v>
      </c>
      <c r="L118" s="161" t="n">
        <f aca="false">M118+N118</f>
        <v>4915.98</v>
      </c>
      <c r="M118" s="161" t="n">
        <v>3805.92</v>
      </c>
      <c r="N118" s="190" t="n">
        <v>1110.06</v>
      </c>
      <c r="O118" s="163" t="n">
        <v>9</v>
      </c>
      <c r="P118" s="161" t="n">
        <v>59549.41</v>
      </c>
      <c r="Q118" s="161" t="n">
        <f aca="false">R118+S118</f>
        <v>55873.9</v>
      </c>
      <c r="R118" s="161" t="n">
        <v>27118.06</v>
      </c>
      <c r="S118" s="190" t="n">
        <v>28755.84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89"/>
      <c r="G119" s="187" t="s">
        <v>23</v>
      </c>
      <c r="H119" s="169"/>
      <c r="I119" s="188"/>
      <c r="J119" s="188"/>
      <c r="K119" s="189"/>
      <c r="L119" s="189" t="n">
        <f aca="false">M119+N119</f>
        <v>0</v>
      </c>
      <c r="M119" s="189"/>
      <c r="N119" s="167"/>
      <c r="O119" s="191"/>
      <c r="P119" s="189"/>
      <c r="Q119" s="189" t="n">
        <f aca="false">R119+S119</f>
        <v>0</v>
      </c>
      <c r="R119" s="189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187</v>
      </c>
      <c r="G120" s="164" t="s">
        <v>26</v>
      </c>
      <c r="H120" s="171" t="n">
        <v>5</v>
      </c>
      <c r="I120" s="165" t="n">
        <v>1</v>
      </c>
      <c r="J120" s="165" t="n">
        <v>2</v>
      </c>
      <c r="K120" s="166" t="n">
        <v>4193.56</v>
      </c>
      <c r="L120" s="166" t="n">
        <f aca="false">M120+N120</f>
        <v>2290.6</v>
      </c>
      <c r="M120" s="166" t="n">
        <f aca="false">2266.65+23.95</f>
        <v>2290.6</v>
      </c>
      <c r="N120" s="156"/>
      <c r="O120" s="168" t="n">
        <v>7</v>
      </c>
      <c r="P120" s="166" t="n">
        <v>29143.12</v>
      </c>
      <c r="Q120" s="166" t="n">
        <f aca="false">R120+S120</f>
        <v>29167.43</v>
      </c>
      <c r="R120" s="166" t="n">
        <v>29167.43</v>
      </c>
      <c r="S120" s="156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 t="s">
        <v>93</v>
      </c>
      <c r="C121" s="19" t="s">
        <v>20</v>
      </c>
      <c r="D121" s="49"/>
      <c r="E121" s="19" t="s">
        <v>50</v>
      </c>
      <c r="F121" s="87"/>
      <c r="G121" s="146" t="s">
        <v>22</v>
      </c>
      <c r="H121" s="169" t="n">
        <v>6</v>
      </c>
      <c r="I121" s="148"/>
      <c r="J121" s="148"/>
      <c r="K121" s="149"/>
      <c r="L121" s="149" t="n">
        <f aca="false">M121+N121</f>
        <v>0</v>
      </c>
      <c r="M121" s="149"/>
      <c r="N121" s="190"/>
      <c r="O121" s="151"/>
      <c r="P121" s="149"/>
      <c r="Q121" s="149" t="n">
        <f aca="false">R121+S121</f>
        <v>0</v>
      </c>
      <c r="R121" s="149"/>
      <c r="S121" s="190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88" t="s">
        <v>188</v>
      </c>
      <c r="G122" s="152" t="s">
        <v>26</v>
      </c>
      <c r="H122" s="171" t="n">
        <v>6</v>
      </c>
      <c r="I122" s="154"/>
      <c r="J122" s="154"/>
      <c r="K122" s="155"/>
      <c r="L122" s="155" t="n">
        <f aca="false">M122+N122</f>
        <v>0</v>
      </c>
      <c r="M122" s="155"/>
      <c r="N122" s="156"/>
      <c r="O122" s="157"/>
      <c r="P122" s="155"/>
      <c r="Q122" s="155" t="n">
        <f aca="false">R122+S122</f>
        <v>0</v>
      </c>
      <c r="R122" s="155"/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" hidden="false" customHeight="true" outlineLevel="0" collapsed="false">
      <c r="A123" s="54"/>
      <c r="B123" s="55" t="s">
        <v>94</v>
      </c>
      <c r="C123" s="56" t="s">
        <v>20</v>
      </c>
      <c r="D123" s="56"/>
      <c r="E123" s="56" t="s">
        <v>52</v>
      </c>
      <c r="F123" s="36"/>
      <c r="G123" s="158" t="s">
        <v>22</v>
      </c>
      <c r="H123" s="159" t="n">
        <v>7</v>
      </c>
      <c r="I123" s="160" t="n">
        <v>5</v>
      </c>
      <c r="J123" s="160" t="n">
        <v>6</v>
      </c>
      <c r="K123" s="161" t="n">
        <v>5246.27</v>
      </c>
      <c r="L123" s="161" t="n">
        <f aca="false">M123+N123</f>
        <v>2133.78</v>
      </c>
      <c r="M123" s="161" t="n">
        <v>1436.03</v>
      </c>
      <c r="N123" s="190" t="n">
        <v>697.75</v>
      </c>
      <c r="O123" s="163" t="n">
        <v>8</v>
      </c>
      <c r="P123" s="161" t="n">
        <v>22461.42</v>
      </c>
      <c r="Q123" s="161" t="n">
        <f aca="false">R123+S123</f>
        <v>17787.53</v>
      </c>
      <c r="R123" s="161" t="n">
        <v>7694.53</v>
      </c>
      <c r="S123" s="190" t="n">
        <v>10093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 t="s">
        <v>189</v>
      </c>
      <c r="G124" s="164" t="s">
        <v>26</v>
      </c>
      <c r="H124" s="171" t="n">
        <v>10</v>
      </c>
      <c r="I124" s="154" t="n">
        <v>1</v>
      </c>
      <c r="J124" s="154" t="n">
        <v>1</v>
      </c>
      <c r="K124" s="155" t="n">
        <v>2446.8</v>
      </c>
      <c r="L124" s="155" t="n">
        <f aca="false">M124+N124</f>
        <v>0</v>
      </c>
      <c r="M124" s="155"/>
      <c r="N124" s="156"/>
      <c r="O124" s="157" t="n">
        <v>4</v>
      </c>
      <c r="P124" s="155" t="n">
        <v>6871.8</v>
      </c>
      <c r="Q124" s="155" t="n">
        <f aca="false">R124+S124</f>
        <v>1585.8</v>
      </c>
      <c r="R124" s="155" t="n">
        <v>1585.8</v>
      </c>
      <c r="S124" s="156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 t="s">
        <v>95</v>
      </c>
      <c r="C125" s="35" t="s">
        <v>33</v>
      </c>
      <c r="D125" s="35" t="s">
        <v>96</v>
      </c>
      <c r="E125" s="35" t="s">
        <v>88</v>
      </c>
      <c r="F125" s="22"/>
      <c r="G125" s="146" t="s">
        <v>22</v>
      </c>
      <c r="H125" s="159" t="n">
        <v>14</v>
      </c>
      <c r="I125" s="160" t="n">
        <v>8</v>
      </c>
      <c r="J125" s="192" t="n">
        <v>8</v>
      </c>
      <c r="K125" s="161" t="n">
        <v>11316.44</v>
      </c>
      <c r="L125" s="161" t="n">
        <f aca="false">M125+N125</f>
        <v>11316.44</v>
      </c>
      <c r="M125" s="161" t="n">
        <v>11316.44</v>
      </c>
      <c r="N125" s="190"/>
      <c r="O125" s="163"/>
      <c r="P125" s="161"/>
      <c r="Q125" s="161" t="n">
        <f aca="false">R125+S125</f>
        <v>0</v>
      </c>
      <c r="R125" s="161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240</v>
      </c>
      <c r="G126" s="164" t="s">
        <v>23</v>
      </c>
      <c r="H126" s="171" t="n">
        <v>6</v>
      </c>
      <c r="I126" s="165"/>
      <c r="J126" s="165"/>
      <c r="K126" s="166"/>
      <c r="L126" s="166" t="n">
        <f aca="false">M126+N126</f>
        <v>0</v>
      </c>
      <c r="M126" s="166"/>
      <c r="N126" s="156"/>
      <c r="O126" s="168" t="n">
        <v>1</v>
      </c>
      <c r="P126" s="166" t="n">
        <v>6167</v>
      </c>
      <c r="Q126" s="166" t="n">
        <f aca="false">R126+S126</f>
        <v>0</v>
      </c>
      <c r="R126" s="166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72"/>
      <c r="B127" s="73" t="s">
        <v>97</v>
      </c>
      <c r="C127" s="74" t="s">
        <v>20</v>
      </c>
      <c r="D127" s="74"/>
      <c r="E127" s="74" t="s">
        <v>98</v>
      </c>
      <c r="F127" s="20"/>
      <c r="G127" s="146" t="s">
        <v>22</v>
      </c>
      <c r="H127" s="159" t="n">
        <v>6</v>
      </c>
      <c r="I127" s="148" t="n">
        <v>2</v>
      </c>
      <c r="J127" s="148" t="n">
        <v>2</v>
      </c>
      <c r="K127" s="149" t="n">
        <v>2223.64</v>
      </c>
      <c r="L127" s="149" t="n">
        <f aca="false">M127+N127</f>
        <v>2223.64</v>
      </c>
      <c r="M127" s="149" t="n">
        <v>1569.94</v>
      </c>
      <c r="N127" s="190" t="n">
        <v>653.7</v>
      </c>
      <c r="O127" s="151" t="n">
        <v>6</v>
      </c>
      <c r="P127" s="149" t="n">
        <v>19174.92</v>
      </c>
      <c r="Q127" s="149" t="n">
        <f aca="false">R127+S127</f>
        <v>19174.92</v>
      </c>
      <c r="R127" s="149" t="n">
        <v>14088.14</v>
      </c>
      <c r="S127" s="190" t="n">
        <v>5086.78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241</v>
      </c>
      <c r="G128" s="164" t="s">
        <v>23</v>
      </c>
      <c r="H128" s="172" t="n">
        <v>16</v>
      </c>
      <c r="I128" s="165" t="n">
        <v>8</v>
      </c>
      <c r="J128" s="165" t="n">
        <v>8</v>
      </c>
      <c r="K128" s="166" t="n">
        <v>5109.8</v>
      </c>
      <c r="L128" s="166" t="n">
        <v>2466.8</v>
      </c>
      <c r="M128" s="166" t="n">
        <v>2466.8</v>
      </c>
      <c r="N128" s="156"/>
      <c r="O128" s="168" t="n">
        <v>11</v>
      </c>
      <c r="P128" s="166" t="n">
        <v>28192</v>
      </c>
      <c r="Q128" s="166" t="n">
        <v>18677.2</v>
      </c>
      <c r="R128" s="166" t="n">
        <v>18677.2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156</v>
      </c>
      <c r="C129" s="19"/>
      <c r="D129" s="19"/>
      <c r="E129" s="19"/>
      <c r="F129" s="20"/>
      <c r="G129" s="146" t="s">
        <v>22</v>
      </c>
      <c r="H129" s="173" t="n">
        <v>18</v>
      </c>
      <c r="I129" s="148" t="n">
        <v>6</v>
      </c>
      <c r="J129" s="148" t="n">
        <v>7</v>
      </c>
      <c r="K129" s="149" t="n">
        <v>14834.62</v>
      </c>
      <c r="L129" s="149" t="n">
        <f aca="false">M129+N129</f>
        <v>14834.62</v>
      </c>
      <c r="M129" s="149" t="n">
        <v>6364.34</v>
      </c>
      <c r="N129" s="190" t="n">
        <v>8470.28</v>
      </c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9" t="s">
        <v>272</v>
      </c>
      <c r="G130" s="187" t="s">
        <v>26</v>
      </c>
      <c r="H130" s="172" t="n">
        <v>10</v>
      </c>
      <c r="I130" s="188" t="n">
        <v>4</v>
      </c>
      <c r="J130" s="188" t="n">
        <v>4</v>
      </c>
      <c r="K130" s="189" t="n">
        <v>4228.8</v>
      </c>
      <c r="L130" s="189" t="n">
        <f aca="false">M130+N130</f>
        <v>1233.4</v>
      </c>
      <c r="M130" s="189"/>
      <c r="N130" s="167" t="n">
        <f aca="false">704.8+528.6</f>
        <v>1233.4</v>
      </c>
      <c r="O130" s="191"/>
      <c r="P130" s="189"/>
      <c r="Q130" s="189" t="n">
        <f aca="false">R130+S130</f>
        <v>0</v>
      </c>
      <c r="R130" s="189"/>
      <c r="S130" s="167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/>
      <c r="C131" s="18"/>
      <c r="D131" s="18"/>
      <c r="E131" s="18"/>
      <c r="F131" s="71"/>
      <c r="G131" s="164" t="s">
        <v>23</v>
      </c>
      <c r="H131" s="177"/>
      <c r="I131" s="165"/>
      <c r="J131" s="165"/>
      <c r="K131" s="166"/>
      <c r="L131" s="166" t="n">
        <f aca="false">M131+N131</f>
        <v>0</v>
      </c>
      <c r="M131" s="166"/>
      <c r="N131" s="156"/>
      <c r="O131" s="168"/>
      <c r="P131" s="166"/>
      <c r="Q131" s="166" t="n">
        <f aca="false">R131+S131</f>
        <v>0</v>
      </c>
      <c r="R131" s="166"/>
      <c r="S131" s="156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 t="s">
        <v>190</v>
      </c>
      <c r="C132" s="19"/>
      <c r="D132" s="19"/>
      <c r="E132" s="19"/>
      <c r="F132" s="20"/>
      <c r="G132" s="146" t="s">
        <v>22</v>
      </c>
      <c r="H132" s="173" t="n">
        <v>5</v>
      </c>
      <c r="I132" s="148"/>
      <c r="J132" s="148"/>
      <c r="K132" s="149"/>
      <c r="L132" s="149" t="n">
        <f aca="false">M132+N132</f>
        <v>0</v>
      </c>
      <c r="M132" s="149"/>
      <c r="N132" s="190"/>
      <c r="O132" s="151"/>
      <c r="P132" s="149"/>
      <c r="Q132" s="149" t="n">
        <f aca="false">R132+S132</f>
        <v>0</v>
      </c>
      <c r="R132" s="149"/>
      <c r="S132" s="190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26" t="s">
        <v>242</v>
      </c>
      <c r="G133" s="152" t="s">
        <v>23</v>
      </c>
      <c r="H133" s="174" t="n">
        <v>2</v>
      </c>
      <c r="I133" s="154"/>
      <c r="J133" s="154"/>
      <c r="K133" s="155"/>
      <c r="L133" s="155" t="n">
        <f aca="false">M133+N133</f>
        <v>0</v>
      </c>
      <c r="M133" s="155"/>
      <c r="N133" s="156"/>
      <c r="O133" s="157"/>
      <c r="P133" s="155"/>
      <c r="Q133" s="155" t="n">
        <f aca="false">R133+S133</f>
        <v>0</v>
      </c>
      <c r="R133" s="155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54"/>
      <c r="B134" s="55" t="s">
        <v>99</v>
      </c>
      <c r="C134" s="56" t="s">
        <v>33</v>
      </c>
      <c r="D134" s="56" t="s">
        <v>100</v>
      </c>
      <c r="E134" s="56" t="s">
        <v>101</v>
      </c>
      <c r="F134" s="36"/>
      <c r="G134" s="158" t="s">
        <v>22</v>
      </c>
      <c r="H134" s="159" t="n">
        <v>21</v>
      </c>
      <c r="I134" s="160" t="n">
        <v>15</v>
      </c>
      <c r="J134" s="160" t="n">
        <v>15</v>
      </c>
      <c r="K134" s="161" t="n">
        <v>4493.1</v>
      </c>
      <c r="L134" s="161" t="n">
        <f aca="false">M134+N134</f>
        <v>4493.1</v>
      </c>
      <c r="M134" s="161" t="n">
        <v>4493.1</v>
      </c>
      <c r="N134" s="190"/>
      <c r="O134" s="163" t="n">
        <v>21</v>
      </c>
      <c r="P134" s="161" t="n">
        <v>35029.01</v>
      </c>
      <c r="Q134" s="161" t="n">
        <f aca="false">R134+S134</f>
        <v>27295.59</v>
      </c>
      <c r="R134" s="161" t="n">
        <v>27295.59</v>
      </c>
      <c r="S134" s="190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54"/>
      <c r="B135" s="55"/>
      <c r="C135" s="55"/>
      <c r="D135" s="55"/>
      <c r="E135" s="55"/>
      <c r="F135" s="80" t="s">
        <v>191</v>
      </c>
      <c r="G135" s="180" t="s">
        <v>26</v>
      </c>
      <c r="H135" s="169" t="n">
        <v>9</v>
      </c>
      <c r="I135" s="181" t="n">
        <v>4</v>
      </c>
      <c r="J135" s="181" t="n">
        <v>4</v>
      </c>
      <c r="K135" s="182" t="n">
        <v>2643</v>
      </c>
      <c r="L135" s="182" t="n">
        <f aca="false">M135+N135</f>
        <v>2643</v>
      </c>
      <c r="M135" s="182"/>
      <c r="N135" s="167" t="n">
        <v>2643</v>
      </c>
      <c r="O135" s="184" t="n">
        <v>2</v>
      </c>
      <c r="P135" s="182" t="n">
        <v>5374.1</v>
      </c>
      <c r="Q135" s="161" t="n">
        <f aca="false">R135+S135</f>
        <v>5374.1</v>
      </c>
      <c r="R135" s="182" t="n">
        <v>1673.9</v>
      </c>
      <c r="S135" s="167" t="n">
        <v>3700.2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/>
      <c r="C136" s="55"/>
      <c r="D136" s="55"/>
      <c r="E136" s="55"/>
      <c r="F136" s="42"/>
      <c r="G136" s="164" t="s">
        <v>23</v>
      </c>
      <c r="H136" s="175"/>
      <c r="I136" s="165"/>
      <c r="J136" s="165"/>
      <c r="K136" s="166"/>
      <c r="L136" s="166" t="n">
        <f aca="false">M136+N136</f>
        <v>0</v>
      </c>
      <c r="M136" s="166"/>
      <c r="N136" s="156"/>
      <c r="O136" s="168"/>
      <c r="P136" s="166"/>
      <c r="Q136" s="166" t="n">
        <f aca="false">R136+S136</f>
        <v>0</v>
      </c>
      <c r="R136" s="166"/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224</v>
      </c>
      <c r="C137" s="19"/>
      <c r="D137" s="19"/>
      <c r="E137" s="19"/>
      <c r="F137" s="20"/>
      <c r="G137" s="146" t="s">
        <v>22</v>
      </c>
      <c r="H137" s="147" t="n">
        <v>3</v>
      </c>
      <c r="I137" s="148" t="n">
        <v>2</v>
      </c>
      <c r="J137" s="148" t="n">
        <v>3</v>
      </c>
      <c r="K137" s="149" t="n">
        <v>3968.46</v>
      </c>
      <c r="L137" s="149" t="n">
        <f aca="false">M137+N137</f>
        <v>3968.46</v>
      </c>
      <c r="M137" s="149" t="n">
        <v>3968.46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273</v>
      </c>
      <c r="G138" s="152" t="s">
        <v>26</v>
      </c>
      <c r="H138" s="176" t="n">
        <v>4</v>
      </c>
      <c r="I138" s="154"/>
      <c r="J138" s="154"/>
      <c r="K138" s="155"/>
      <c r="L138" s="155" t="n">
        <f aca="false">M138+N138</f>
        <v>0</v>
      </c>
      <c r="M138" s="155"/>
      <c r="N138" s="156"/>
      <c r="O138" s="157"/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102</v>
      </c>
      <c r="C139" s="35" t="s">
        <v>20</v>
      </c>
      <c r="D139" s="35"/>
      <c r="E139" s="35" t="s">
        <v>25</v>
      </c>
      <c r="F139" s="36"/>
      <c r="G139" s="158" t="s">
        <v>22</v>
      </c>
      <c r="H139" s="169" t="n">
        <v>13</v>
      </c>
      <c r="I139" s="160" t="n">
        <v>11</v>
      </c>
      <c r="J139" s="160" t="n">
        <v>11</v>
      </c>
      <c r="K139" s="161" t="n">
        <v>14377.92</v>
      </c>
      <c r="L139" s="161" t="n">
        <f aca="false">M139+N139</f>
        <v>14377.92</v>
      </c>
      <c r="M139" s="161" t="n">
        <v>1057.2</v>
      </c>
      <c r="N139" s="190" t="n">
        <v>13320.72</v>
      </c>
      <c r="O139" s="163" t="n">
        <v>6</v>
      </c>
      <c r="P139" s="161" t="n">
        <v>20530.3</v>
      </c>
      <c r="Q139" s="161" t="n">
        <f aca="false">R139+S139</f>
        <v>20530.3</v>
      </c>
      <c r="R139" s="161" t="n">
        <v>7521.1</v>
      </c>
      <c r="S139" s="190" t="n">
        <v>13009.2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 t="s">
        <v>192</v>
      </c>
      <c r="G140" s="164" t="s">
        <v>26</v>
      </c>
      <c r="H140" s="153" t="n">
        <v>5</v>
      </c>
      <c r="I140" s="165" t="n">
        <v>2</v>
      </c>
      <c r="J140" s="165" t="n">
        <v>2</v>
      </c>
      <c r="K140" s="166" t="n">
        <v>7400.4</v>
      </c>
      <c r="L140" s="166" t="n">
        <f aca="false">M140+N140</f>
        <v>3700.2</v>
      </c>
      <c r="M140" s="166"/>
      <c r="N140" s="156" t="n">
        <v>3700.2</v>
      </c>
      <c r="O140" s="168" t="n">
        <v>3</v>
      </c>
      <c r="P140" s="166" t="n">
        <v>5286</v>
      </c>
      <c r="Q140" s="166" t="n">
        <f aca="false">R140+S140</f>
        <v>6519.4</v>
      </c>
      <c r="R140" s="166" t="n">
        <f aca="false">2995.4</f>
        <v>2995.4</v>
      </c>
      <c r="S140" s="156" t="n">
        <f aca="false">6519.4-2995.4</f>
        <v>3524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103</v>
      </c>
      <c r="C141" s="19" t="s">
        <v>20</v>
      </c>
      <c r="D141" s="19"/>
      <c r="E141" s="19" t="s">
        <v>52</v>
      </c>
      <c r="F141" s="20"/>
      <c r="G141" s="146" t="s">
        <v>22</v>
      </c>
      <c r="H141" s="169" t="n">
        <v>2</v>
      </c>
      <c r="I141" s="148" t="n">
        <v>1</v>
      </c>
      <c r="J141" s="148" t="n">
        <v>1</v>
      </c>
      <c r="K141" s="149" t="n">
        <v>1082.63</v>
      </c>
      <c r="L141" s="149" t="n">
        <f aca="false">M141+N141</f>
        <v>1082.63</v>
      </c>
      <c r="M141" s="149" t="n">
        <v>1082.63</v>
      </c>
      <c r="N141" s="190"/>
      <c r="O141" s="151" t="n">
        <v>5</v>
      </c>
      <c r="P141" s="149" t="n">
        <v>20672.92</v>
      </c>
      <c r="Q141" s="149" t="n">
        <f aca="false">R141+S141</f>
        <v>19139.98</v>
      </c>
      <c r="R141" s="149" t="n">
        <v>19139.98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193</v>
      </c>
      <c r="G142" s="152" t="s">
        <v>26</v>
      </c>
      <c r="H142" s="171" t="n">
        <v>10</v>
      </c>
      <c r="I142" s="154"/>
      <c r="J142" s="154"/>
      <c r="K142" s="155"/>
      <c r="L142" s="155" t="n">
        <f aca="false">M142+N142</f>
        <v>0</v>
      </c>
      <c r="M142" s="155"/>
      <c r="N142" s="156"/>
      <c r="O142" s="157" t="n">
        <v>4</v>
      </c>
      <c r="P142" s="155" t="n">
        <v>10925</v>
      </c>
      <c r="Q142" s="155" t="n">
        <f aca="false">R142+S142</f>
        <v>2290.6</v>
      </c>
      <c r="R142" s="155" t="n">
        <f aca="false">1762</f>
        <v>1762</v>
      </c>
      <c r="S142" s="156" t="n">
        <v>528.6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54"/>
      <c r="B143" s="55" t="s">
        <v>104</v>
      </c>
      <c r="C143" s="56" t="s">
        <v>20</v>
      </c>
      <c r="D143" s="56"/>
      <c r="E143" s="56" t="s">
        <v>25</v>
      </c>
      <c r="F143" s="22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90"/>
      <c r="O143" s="163" t="n">
        <v>2</v>
      </c>
      <c r="P143" s="161" t="n">
        <v>20088.08</v>
      </c>
      <c r="Q143" s="161" t="n">
        <f aca="false">R143+S143</f>
        <v>0</v>
      </c>
      <c r="R143" s="161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26" t="s">
        <v>281</v>
      </c>
      <c r="G144" s="152" t="s">
        <v>26</v>
      </c>
      <c r="H144" s="153" t="n">
        <v>2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105</v>
      </c>
      <c r="C145" s="35" t="s">
        <v>33</v>
      </c>
      <c r="D145" s="35" t="s">
        <v>106</v>
      </c>
      <c r="E145" s="35" t="s">
        <v>107</v>
      </c>
      <c r="F145" s="36"/>
      <c r="G145" s="146" t="s">
        <v>22</v>
      </c>
      <c r="H145" s="169" t="n">
        <v>2</v>
      </c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7</v>
      </c>
      <c r="P145" s="161" t="n">
        <v>18435.62</v>
      </c>
      <c r="Q145" s="161" t="n">
        <f aca="false">R145+S145</f>
        <v>18435.62</v>
      </c>
      <c r="R145" s="161" t="n">
        <v>14967.24</v>
      </c>
      <c r="S145" s="190" t="n">
        <v>3468.38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194</v>
      </c>
      <c r="G146" s="164" t="s">
        <v>26</v>
      </c>
      <c r="H146" s="153" t="n">
        <v>1</v>
      </c>
      <c r="I146" s="165"/>
      <c r="J146" s="165"/>
      <c r="K146" s="166"/>
      <c r="L146" s="161" t="n">
        <f aca="false">M146+N146</f>
        <v>0</v>
      </c>
      <c r="M146" s="166" t="n">
        <v>0</v>
      </c>
      <c r="N146" s="156"/>
      <c r="O146" s="168" t="n">
        <v>6</v>
      </c>
      <c r="P146" s="166" t="n">
        <v>23645.16</v>
      </c>
      <c r="Q146" s="166" t="n">
        <f aca="false">R146+S146</f>
        <v>5682.4</v>
      </c>
      <c r="R146" s="166" t="n">
        <f aca="false">881</f>
        <v>881</v>
      </c>
      <c r="S146" s="156" t="n">
        <v>4801.4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72"/>
      <c r="B147" s="73" t="s">
        <v>108</v>
      </c>
      <c r="C147" s="74" t="s">
        <v>33</v>
      </c>
      <c r="D147" s="74" t="s">
        <v>109</v>
      </c>
      <c r="E147" s="74" t="s">
        <v>25</v>
      </c>
      <c r="F147" s="20"/>
      <c r="G147" s="146" t="s">
        <v>22</v>
      </c>
      <c r="H147" s="159" t="n">
        <v>7</v>
      </c>
      <c r="I147" s="148" t="n">
        <v>5</v>
      </c>
      <c r="J147" s="148" t="n">
        <v>6</v>
      </c>
      <c r="K147" s="149" t="n">
        <v>11519.11</v>
      </c>
      <c r="L147" s="149" t="n">
        <f aca="false">M147+N147</f>
        <v>11519.11</v>
      </c>
      <c r="M147" s="149" t="n">
        <v>1895.47</v>
      </c>
      <c r="N147" s="190" t="n">
        <v>9623.64</v>
      </c>
      <c r="O147" s="151" t="n">
        <v>18</v>
      </c>
      <c r="P147" s="149" t="n">
        <v>41995.38</v>
      </c>
      <c r="Q147" s="149" t="n">
        <f aca="false">R147+S147</f>
        <v>37928.86</v>
      </c>
      <c r="R147" s="149" t="n">
        <v>22194.99</v>
      </c>
      <c r="S147" s="190" t="n">
        <v>15733.87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72"/>
      <c r="B148" s="73"/>
      <c r="C148" s="73"/>
      <c r="D148" s="73"/>
      <c r="E148" s="73"/>
      <c r="F148" s="42" t="s">
        <v>195</v>
      </c>
      <c r="G148" s="164" t="s">
        <v>26</v>
      </c>
      <c r="H148" s="171" t="n">
        <v>9</v>
      </c>
      <c r="I148" s="165" t="n">
        <v>6</v>
      </c>
      <c r="J148" s="165" t="n">
        <v>6</v>
      </c>
      <c r="K148" s="166" t="n">
        <v>21743.08</v>
      </c>
      <c r="L148" s="166" t="n">
        <f aca="false">M148+N148</f>
        <v>6343.2</v>
      </c>
      <c r="M148" s="166"/>
      <c r="N148" s="156" t="n">
        <f aca="false">4581.2+1762</f>
        <v>6343.2</v>
      </c>
      <c r="O148" s="157" t="n">
        <v>11</v>
      </c>
      <c r="P148" s="155" t="n">
        <v>30218.3</v>
      </c>
      <c r="Q148" s="155" t="n">
        <f aca="false">R148+S148</f>
        <v>30817.38</v>
      </c>
      <c r="R148" s="155" t="n">
        <v>15329.4</v>
      </c>
      <c r="S148" s="156" t="n">
        <v>15487.98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17"/>
      <c r="B149" s="18" t="s">
        <v>110</v>
      </c>
      <c r="C149" s="19" t="s">
        <v>33</v>
      </c>
      <c r="D149" s="19" t="s">
        <v>111</v>
      </c>
      <c r="E149" s="19" t="s">
        <v>25</v>
      </c>
      <c r="F149" s="20"/>
      <c r="G149" s="146" t="s">
        <v>22</v>
      </c>
      <c r="H149" s="159" t="n">
        <v>20</v>
      </c>
      <c r="I149" s="148" t="n">
        <v>15</v>
      </c>
      <c r="J149" s="193" t="n">
        <v>16</v>
      </c>
      <c r="K149" s="149" t="n">
        <v>15755.63</v>
      </c>
      <c r="L149" s="149" t="n">
        <f aca="false">M149+N149</f>
        <v>16881.73</v>
      </c>
      <c r="M149" s="149" t="n">
        <v>9291.07</v>
      </c>
      <c r="N149" s="190" t="n">
        <v>7590.66</v>
      </c>
      <c r="O149" s="163" t="n">
        <v>13</v>
      </c>
      <c r="P149" s="161" t="n">
        <v>44245.85</v>
      </c>
      <c r="Q149" s="161" t="n">
        <f aca="false">R149+S149</f>
        <v>44245.85</v>
      </c>
      <c r="R149" s="161" t="n">
        <v>19724.71</v>
      </c>
      <c r="S149" s="190" t="n">
        <v>24521.14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196</v>
      </c>
      <c r="G150" s="164" t="s">
        <v>26</v>
      </c>
      <c r="H150" s="175" t="n">
        <v>3</v>
      </c>
      <c r="I150" s="165" t="n">
        <v>1</v>
      </c>
      <c r="J150" s="165" t="n">
        <v>0</v>
      </c>
      <c r="K150" s="166"/>
      <c r="L150" s="166" t="n">
        <f aca="false">M150+N150</f>
        <v>0</v>
      </c>
      <c r="M150" s="166"/>
      <c r="N150" s="167"/>
      <c r="O150" s="168"/>
      <c r="P150" s="166"/>
      <c r="Q150" s="166" t="n">
        <f aca="false">R150+S150</f>
        <v>0</v>
      </c>
      <c r="R150" s="166"/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240" t="s">
        <v>282</v>
      </c>
      <c r="C151" s="19" t="s">
        <v>33</v>
      </c>
      <c r="D151" s="19" t="s">
        <v>283</v>
      </c>
      <c r="E151" s="19" t="s">
        <v>284</v>
      </c>
      <c r="F151" s="20"/>
      <c r="G151" s="146" t="s">
        <v>22</v>
      </c>
      <c r="H151" s="173"/>
      <c r="I151" s="148"/>
      <c r="J151" s="148"/>
      <c r="K151" s="241"/>
      <c r="L151" s="241" t="n">
        <f aca="false">M151+N151</f>
        <v>0</v>
      </c>
      <c r="M151" s="241"/>
      <c r="N151" s="150"/>
      <c r="O151" s="206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240"/>
      <c r="C152" s="19"/>
      <c r="D152" s="19"/>
      <c r="E152" s="19"/>
      <c r="F152" s="26" t="s">
        <v>285</v>
      </c>
      <c r="G152" s="152" t="s">
        <v>23</v>
      </c>
      <c r="H152" s="174" t="n">
        <v>2</v>
      </c>
      <c r="I152" s="154"/>
      <c r="J152" s="154"/>
      <c r="K152" s="242"/>
      <c r="L152" s="242" t="n">
        <f aca="false">M152+N152</f>
        <v>0</v>
      </c>
      <c r="M152" s="242"/>
      <c r="N152" s="156"/>
      <c r="O152" s="209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112</v>
      </c>
      <c r="C153" s="35" t="s">
        <v>20</v>
      </c>
      <c r="D153" s="35" t="s">
        <v>197</v>
      </c>
      <c r="E153" s="35" t="s">
        <v>25</v>
      </c>
      <c r="F153" s="36"/>
      <c r="G153" s="158" t="s">
        <v>22</v>
      </c>
      <c r="H153" s="159" t="n">
        <v>11</v>
      </c>
      <c r="I153" s="160" t="n">
        <v>6</v>
      </c>
      <c r="J153" s="160" t="n">
        <v>7</v>
      </c>
      <c r="K153" s="140" t="n">
        <v>23292.74</v>
      </c>
      <c r="L153" s="140" t="n">
        <f aca="false">M153+N153</f>
        <v>23292.74</v>
      </c>
      <c r="M153" s="140" t="n">
        <v>9984.81</v>
      </c>
      <c r="N153" s="190" t="n">
        <v>13307.93</v>
      </c>
      <c r="O153" s="163" t="n">
        <v>4</v>
      </c>
      <c r="P153" s="161" t="n">
        <v>20244.62</v>
      </c>
      <c r="Q153" s="161" t="n">
        <f aca="false">R153+S153</f>
        <v>20244.62</v>
      </c>
      <c r="R153" s="161" t="n">
        <v>1198.16</v>
      </c>
      <c r="S153" s="190" t="n">
        <v>19046.46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26" t="s">
        <v>198</v>
      </c>
      <c r="G154" s="152" t="s">
        <v>26</v>
      </c>
      <c r="H154" s="171" t="n">
        <v>3</v>
      </c>
      <c r="I154" s="165"/>
      <c r="J154" s="165" t="n">
        <v>1</v>
      </c>
      <c r="K154" s="166" t="n">
        <v>1762</v>
      </c>
      <c r="L154" s="166" t="n">
        <f aca="false">M154+N154</f>
        <v>0</v>
      </c>
      <c r="M154" s="166"/>
      <c r="N154" s="156"/>
      <c r="O154" s="168" t="n">
        <v>1</v>
      </c>
      <c r="P154" s="166" t="n">
        <v>2114.4</v>
      </c>
      <c r="Q154" s="166" t="n">
        <f aca="false">R154+S154</f>
        <v>2114.4</v>
      </c>
      <c r="R154" s="166"/>
      <c r="S154" s="156" t="n">
        <v>2114.4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" hidden="false" customHeight="true" outlineLevel="0" collapsed="false">
      <c r="A155" s="17"/>
      <c r="B155" s="18" t="s">
        <v>113</v>
      </c>
      <c r="C155" s="19" t="s">
        <v>20</v>
      </c>
      <c r="D155" s="19"/>
      <c r="E155" s="19" t="s">
        <v>31</v>
      </c>
      <c r="F155" s="36"/>
      <c r="G155" s="146" t="s">
        <v>22</v>
      </c>
      <c r="H155" s="159" t="n">
        <v>10</v>
      </c>
      <c r="I155" s="148" t="n">
        <v>6</v>
      </c>
      <c r="J155" s="148" t="n">
        <v>7</v>
      </c>
      <c r="K155" s="149" t="n">
        <v>13847.41</v>
      </c>
      <c r="L155" s="149" t="n">
        <f aca="false">M155+N155</f>
        <v>12303.8</v>
      </c>
      <c r="M155" s="149" t="n">
        <v>7903.02</v>
      </c>
      <c r="N155" s="190" t="n">
        <v>4400.78</v>
      </c>
      <c r="O155" s="151" t="n">
        <v>6</v>
      </c>
      <c r="P155" s="149" t="n">
        <v>12527.12</v>
      </c>
      <c r="Q155" s="149" t="n">
        <f aca="false">R155+S155</f>
        <v>9035.03</v>
      </c>
      <c r="R155" s="149" t="n">
        <v>3839.24</v>
      </c>
      <c r="S155" s="190" t="n">
        <v>5195.79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152" t="s">
        <v>26</v>
      </c>
      <c r="H156" s="153"/>
      <c r="I156" s="154"/>
      <c r="J156" s="154"/>
      <c r="K156" s="155"/>
      <c r="L156" s="155" t="n">
        <f aca="false">M156+N156</f>
        <v>0</v>
      </c>
      <c r="M156" s="155"/>
      <c r="N156" s="156"/>
      <c r="O156" s="157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33"/>
      <c r="B157" s="34" t="s">
        <v>114</v>
      </c>
      <c r="C157" s="35" t="s">
        <v>20</v>
      </c>
      <c r="D157" s="95"/>
      <c r="E157" s="35" t="s">
        <v>25</v>
      </c>
      <c r="F157" s="71"/>
      <c r="G157" s="146" t="s">
        <v>22</v>
      </c>
      <c r="H157" s="169" t="n">
        <v>1</v>
      </c>
      <c r="I157" s="160"/>
      <c r="J157" s="160"/>
      <c r="K157" s="161"/>
      <c r="L157" s="161" t="n">
        <f aca="false">M157+N157</f>
        <v>0</v>
      </c>
      <c r="M157" s="161"/>
      <c r="N157" s="190"/>
      <c r="O157" s="163" t="n">
        <v>3</v>
      </c>
      <c r="P157" s="161" t="n">
        <v>4574.09</v>
      </c>
      <c r="Q157" s="161" t="n">
        <f aca="false">R157+S157</f>
        <v>0</v>
      </c>
      <c r="R157" s="161"/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274</v>
      </c>
      <c r="G158" s="164" t="s">
        <v>26</v>
      </c>
      <c r="H158" s="175" t="n">
        <v>3</v>
      </c>
      <c r="I158" s="165" t="n">
        <v>3</v>
      </c>
      <c r="J158" s="165" t="n">
        <v>3</v>
      </c>
      <c r="K158" s="166" t="n">
        <v>4075.22</v>
      </c>
      <c r="L158" s="166" t="n">
        <f aca="false">M158+N158</f>
        <v>0</v>
      </c>
      <c r="M158" s="166"/>
      <c r="N158" s="156"/>
      <c r="O158" s="168"/>
      <c r="P158" s="166"/>
      <c r="Q158" s="166" t="n">
        <f aca="false">R158+S158</f>
        <v>0</v>
      </c>
      <c r="R158" s="166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243</v>
      </c>
      <c r="C159" s="219"/>
      <c r="D159" s="19"/>
      <c r="E159" s="19"/>
      <c r="F159" s="20"/>
      <c r="G159" s="146" t="s">
        <v>22</v>
      </c>
      <c r="H159" s="173" t="n">
        <v>2</v>
      </c>
      <c r="I159" s="148"/>
      <c r="J159" s="148"/>
      <c r="K159" s="149"/>
      <c r="L159" s="149" t="n">
        <f aca="false">M159+N159</f>
        <v>0</v>
      </c>
      <c r="M159" s="149"/>
      <c r="N159" s="190"/>
      <c r="O159" s="206"/>
      <c r="P159" s="149"/>
      <c r="Q159" s="149" t="n">
        <f aca="false">R159+S159</f>
        <v>0</v>
      </c>
      <c r="R159" s="149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26" t="s">
        <v>275</v>
      </c>
      <c r="G160" s="152" t="s">
        <v>26</v>
      </c>
      <c r="H160" s="174" t="n">
        <v>4</v>
      </c>
      <c r="I160" s="154" t="n">
        <v>1</v>
      </c>
      <c r="J160" s="154" t="n">
        <v>1</v>
      </c>
      <c r="K160" s="155" t="n">
        <v>528.6</v>
      </c>
      <c r="L160" s="155" t="n">
        <f aca="false">M160+N160</f>
        <v>3476.14</v>
      </c>
      <c r="M160" s="155"/>
      <c r="N160" s="156" t="n">
        <v>3476.14</v>
      </c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54"/>
      <c r="B161" s="55" t="s">
        <v>200</v>
      </c>
      <c r="C161" s="220"/>
      <c r="D161" s="56"/>
      <c r="E161" s="56"/>
      <c r="F161" s="36"/>
      <c r="G161" s="158" t="s">
        <v>22</v>
      </c>
      <c r="H161" s="159" t="n">
        <v>21</v>
      </c>
      <c r="I161" s="160" t="n">
        <v>18</v>
      </c>
      <c r="J161" s="160" t="n">
        <v>18</v>
      </c>
      <c r="K161" s="161" t="n">
        <v>14987.23</v>
      </c>
      <c r="L161" s="161" t="n">
        <f aca="false">M161+N161</f>
        <v>14018.13</v>
      </c>
      <c r="M161" s="161" t="n">
        <v>14018.13</v>
      </c>
      <c r="N161" s="190"/>
      <c r="O161" s="163"/>
      <c r="P161" s="161"/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54"/>
      <c r="B162" s="55"/>
      <c r="C162" s="55"/>
      <c r="D162" s="55"/>
      <c r="E162" s="55"/>
      <c r="F162" s="57"/>
      <c r="G162" s="152" t="s">
        <v>26</v>
      </c>
      <c r="H162" s="174" t="n">
        <v>4</v>
      </c>
      <c r="I162" s="154" t="n">
        <v>3</v>
      </c>
      <c r="J162" s="154" t="n">
        <v>3</v>
      </c>
      <c r="K162" s="155" t="n">
        <v>4757.4</v>
      </c>
      <c r="L162" s="155" t="n">
        <f aca="false">M162+N162</f>
        <v>4757.4</v>
      </c>
      <c r="M162" s="155"/>
      <c r="N162" s="156" t="n">
        <v>4757.4</v>
      </c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115</v>
      </c>
      <c r="C163" s="56" t="s">
        <v>20</v>
      </c>
      <c r="D163" s="56"/>
      <c r="E163" s="56" t="s">
        <v>116</v>
      </c>
      <c r="F163" s="36"/>
      <c r="G163" s="158" t="s">
        <v>22</v>
      </c>
      <c r="H163" s="159" t="n">
        <v>13</v>
      </c>
      <c r="I163" s="160" t="n">
        <v>7</v>
      </c>
      <c r="J163" s="160" t="n">
        <v>8</v>
      </c>
      <c r="K163" s="161" t="n">
        <v>6070.98</v>
      </c>
      <c r="L163" s="161" t="n">
        <f aca="false">M163+N163</f>
        <v>6070.98</v>
      </c>
      <c r="M163" s="161" t="n">
        <v>2886.16</v>
      </c>
      <c r="N163" s="190" t="n">
        <v>3184.82</v>
      </c>
      <c r="O163" s="163" t="n">
        <v>16</v>
      </c>
      <c r="P163" s="161" t="n">
        <v>38035.34</v>
      </c>
      <c r="Q163" s="161" t="n">
        <f aca="false">R163+S163</f>
        <v>22208.41</v>
      </c>
      <c r="R163" s="161" t="n">
        <v>6775.76</v>
      </c>
      <c r="S163" s="190" t="n">
        <v>15432.65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42" t="s">
        <v>201</v>
      </c>
      <c r="G164" s="164" t="s">
        <v>26</v>
      </c>
      <c r="H164" s="172" t="n">
        <v>9</v>
      </c>
      <c r="I164" s="165" t="n">
        <v>2</v>
      </c>
      <c r="J164" s="165" t="n">
        <v>2</v>
      </c>
      <c r="K164" s="166" t="n">
        <v>5990.8</v>
      </c>
      <c r="L164" s="161" t="n">
        <f aca="false">M164+N164</f>
        <v>1585.8</v>
      </c>
      <c r="M164" s="166"/>
      <c r="N164" s="156" t="n">
        <v>1585.8</v>
      </c>
      <c r="O164" s="168" t="n">
        <v>8</v>
      </c>
      <c r="P164" s="166" t="n">
        <v>881</v>
      </c>
      <c r="Q164" s="166" t="n">
        <f aca="false">R164+S164</f>
        <v>5967</v>
      </c>
      <c r="R164" s="166" t="n">
        <f aca="false">881+2114.4</f>
        <v>2995.4</v>
      </c>
      <c r="S164" s="156" t="n">
        <v>2971.6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157</v>
      </c>
      <c r="C165" s="19"/>
      <c r="D165" s="19"/>
      <c r="E165" s="127"/>
      <c r="F165" s="22"/>
      <c r="G165" s="146" t="s">
        <v>22</v>
      </c>
      <c r="H165" s="147" t="n">
        <v>8</v>
      </c>
      <c r="I165" s="148" t="n">
        <v>1</v>
      </c>
      <c r="J165" s="148" t="n">
        <v>1</v>
      </c>
      <c r="K165" s="149" t="n">
        <v>3876.4</v>
      </c>
      <c r="L165" s="149" t="n">
        <f aca="false">M165+N165</f>
        <v>3876.4</v>
      </c>
      <c r="M165" s="149" t="n">
        <v>3876.4</v>
      </c>
      <c r="N165" s="190"/>
      <c r="O165" s="151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" hidden="false" customHeight="false" outlineLevel="0" collapsed="false">
      <c r="A166" s="17"/>
      <c r="B166" s="18"/>
      <c r="C166" s="18"/>
      <c r="D166" s="18"/>
      <c r="E166" s="127"/>
      <c r="F166" s="26" t="s">
        <v>202</v>
      </c>
      <c r="G166" s="152" t="s">
        <v>26</v>
      </c>
      <c r="H166" s="176" t="n">
        <v>1</v>
      </c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1762</v>
      </c>
      <c r="R166" s="155"/>
      <c r="S166" s="156" t="n">
        <v>1762</v>
      </c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117</v>
      </c>
      <c r="C167" s="35" t="s">
        <v>33</v>
      </c>
      <c r="D167" s="35" t="s">
        <v>118</v>
      </c>
      <c r="E167" s="74" t="s">
        <v>25</v>
      </c>
      <c r="F167" s="89"/>
      <c r="G167" s="158" t="s">
        <v>22</v>
      </c>
      <c r="H167" s="169"/>
      <c r="I167" s="160"/>
      <c r="J167" s="160"/>
      <c r="K167" s="161"/>
      <c r="L167" s="161" t="n">
        <f aca="false">M167+N167</f>
        <v>0</v>
      </c>
      <c r="M167" s="161"/>
      <c r="N167" s="190"/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33"/>
      <c r="B168" s="34"/>
      <c r="C168" s="34"/>
      <c r="D168" s="34"/>
      <c r="E168" s="34"/>
      <c r="F168" s="42"/>
      <c r="G168" s="158" t="s">
        <v>23</v>
      </c>
      <c r="H168" s="169"/>
      <c r="I168" s="160"/>
      <c r="J168" s="160"/>
      <c r="K168" s="161"/>
      <c r="L168" s="161" t="n">
        <f aca="false">M168+N168</f>
        <v>0</v>
      </c>
      <c r="M168" s="161"/>
      <c r="N168" s="167"/>
      <c r="O168" s="163" t="n">
        <v>2</v>
      </c>
      <c r="P168" s="161" t="n">
        <v>1762</v>
      </c>
      <c r="Q168" s="161" t="n">
        <v>1762</v>
      </c>
      <c r="R168" s="161" t="n">
        <v>1762</v>
      </c>
      <c r="S168" s="167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false" outlineLevel="0" collapsed="false">
      <c r="A169" s="33"/>
      <c r="B169" s="34"/>
      <c r="C169" s="34"/>
      <c r="D169" s="34"/>
      <c r="E169" s="34"/>
      <c r="F169" s="42"/>
      <c r="G169" s="164" t="s">
        <v>26</v>
      </c>
      <c r="H169" s="153"/>
      <c r="I169" s="165"/>
      <c r="J169" s="165"/>
      <c r="K169" s="166"/>
      <c r="L169" s="166" t="n">
        <f aca="false">M169+N169</f>
        <v>0</v>
      </c>
      <c r="M169" s="166"/>
      <c r="N169" s="156"/>
      <c r="O169" s="168" t="n">
        <v>6</v>
      </c>
      <c r="P169" s="166" t="n">
        <v>4845.5</v>
      </c>
      <c r="Q169" s="166" t="n">
        <f aca="false">R169+S169</f>
        <v>1762</v>
      </c>
      <c r="R169" s="166" t="n">
        <v>1762</v>
      </c>
      <c r="S169" s="156" t="n">
        <v>0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true" outlineLevel="0" collapsed="false">
      <c r="A170" s="17"/>
      <c r="B170" s="18" t="s">
        <v>119</v>
      </c>
      <c r="C170" s="19" t="s">
        <v>20</v>
      </c>
      <c r="D170" s="19"/>
      <c r="E170" s="19" t="s">
        <v>25</v>
      </c>
      <c r="F170" s="20"/>
      <c r="G170" s="146" t="s">
        <v>22</v>
      </c>
      <c r="H170" s="169"/>
      <c r="I170" s="148"/>
      <c r="J170" s="148"/>
      <c r="K170" s="149"/>
      <c r="L170" s="149" t="n">
        <f aca="false">M170+N170</f>
        <v>0</v>
      </c>
      <c r="M170" s="149"/>
      <c r="N170" s="190"/>
      <c r="O170" s="151" t="n">
        <v>2</v>
      </c>
      <c r="P170" s="149" t="n">
        <v>2643</v>
      </c>
      <c r="Q170" s="149" t="n">
        <f aca="false">R170+S170</f>
        <v>2643</v>
      </c>
      <c r="R170" s="149" t="n">
        <v>2643</v>
      </c>
      <c r="S170" s="19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8"/>
      <c r="F171" s="42" t="s">
        <v>203</v>
      </c>
      <c r="G171" s="164" t="s">
        <v>26</v>
      </c>
      <c r="H171" s="175" t="n">
        <v>4</v>
      </c>
      <c r="I171" s="165" t="n">
        <v>2</v>
      </c>
      <c r="J171" s="165" t="n">
        <v>2</v>
      </c>
      <c r="K171" s="166" t="n">
        <v>1233.4</v>
      </c>
      <c r="L171" s="166" t="n">
        <f aca="false">M171+N171</f>
        <v>704.8</v>
      </c>
      <c r="M171" s="166" t="n">
        <f aca="false">704.8</f>
        <v>704.8</v>
      </c>
      <c r="N171" s="156"/>
      <c r="O171" s="168" t="n">
        <v>3</v>
      </c>
      <c r="P171" s="166" t="n">
        <v>7576.6</v>
      </c>
      <c r="Q171" s="166" t="n">
        <f aca="false">R171+S171</f>
        <v>7400.4</v>
      </c>
      <c r="R171" s="166" t="n">
        <f aca="false">881</f>
        <v>881</v>
      </c>
      <c r="S171" s="156" t="n">
        <f aca="false">2466.8+4052.6</f>
        <v>6519.4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225</v>
      </c>
      <c r="C172" s="19"/>
      <c r="D172" s="19"/>
      <c r="E172" s="19"/>
      <c r="F172" s="20"/>
      <c r="G172" s="146" t="s">
        <v>22</v>
      </c>
      <c r="H172" s="147"/>
      <c r="I172" s="148"/>
      <c r="J172" s="148"/>
      <c r="K172" s="149"/>
      <c r="L172" s="149" t="n">
        <f aca="false">M172+N172</f>
        <v>0</v>
      </c>
      <c r="M172" s="149"/>
      <c r="N172" s="190"/>
      <c r="O172" s="151"/>
      <c r="P172" s="149"/>
      <c r="Q172" s="149" t="n">
        <f aca="false">R172+S172</f>
        <v>0</v>
      </c>
      <c r="R172" s="149"/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17"/>
      <c r="B173" s="18"/>
      <c r="C173" s="18"/>
      <c r="D173" s="18"/>
      <c r="E173" s="18"/>
      <c r="F173" s="26" t="s">
        <v>244</v>
      </c>
      <c r="G173" s="152" t="s">
        <v>23</v>
      </c>
      <c r="H173" s="176" t="n">
        <v>16</v>
      </c>
      <c r="I173" s="154" t="n">
        <v>3</v>
      </c>
      <c r="J173" s="154" t="n">
        <v>3</v>
      </c>
      <c r="K173" s="155" t="n">
        <v>2863</v>
      </c>
      <c r="L173" s="155" t="n">
        <v>2863</v>
      </c>
      <c r="M173" s="155" t="n">
        <v>2863</v>
      </c>
      <c r="N173" s="156"/>
      <c r="O173" s="157"/>
      <c r="P173" s="155"/>
      <c r="Q173" s="155" t="n">
        <f aca="false">R173+S173</f>
        <v>0</v>
      </c>
      <c r="R173" s="155"/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54"/>
      <c r="B174" s="55" t="s">
        <v>120</v>
      </c>
      <c r="C174" s="56" t="s">
        <v>20</v>
      </c>
      <c r="D174" s="56"/>
      <c r="E174" s="56" t="s">
        <v>25</v>
      </c>
      <c r="F174" s="36"/>
      <c r="G174" s="158" t="s">
        <v>22</v>
      </c>
      <c r="H174" s="169"/>
      <c r="I174" s="160"/>
      <c r="J174" s="160"/>
      <c r="K174" s="161"/>
      <c r="L174" s="161" t="n">
        <f aca="false">M174+N174</f>
        <v>0</v>
      </c>
      <c r="M174" s="161"/>
      <c r="N174" s="190"/>
      <c r="O174" s="163" t="n">
        <v>3</v>
      </c>
      <c r="P174" s="161" t="n">
        <v>3063.78</v>
      </c>
      <c r="Q174" s="161" t="n">
        <f aca="false">R174+S174</f>
        <v>3063.78</v>
      </c>
      <c r="R174" s="161" t="n">
        <v>3063.78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/>
      <c r="C175" s="55"/>
      <c r="D175" s="55"/>
      <c r="E175" s="55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56"/>
      <c r="O175" s="168"/>
      <c r="P175" s="166"/>
      <c r="Q175" s="166" t="n">
        <f aca="false">R175+S175</f>
        <v>0</v>
      </c>
      <c r="R175" s="166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72"/>
      <c r="B176" s="18" t="s">
        <v>158</v>
      </c>
      <c r="C176" s="74"/>
      <c r="D176" s="56" t="s">
        <v>204</v>
      </c>
      <c r="E176" s="74"/>
      <c r="F176" s="53"/>
      <c r="G176" s="146" t="s">
        <v>22</v>
      </c>
      <c r="H176" s="195"/>
      <c r="I176" s="196"/>
      <c r="J176" s="196"/>
      <c r="K176" s="197"/>
      <c r="L176" s="197" t="n">
        <f aca="false">M176+N176</f>
        <v>0</v>
      </c>
      <c r="M176" s="197"/>
      <c r="N176" s="190"/>
      <c r="O176" s="199"/>
      <c r="P176" s="197"/>
      <c r="Q176" s="197" t="n">
        <f aca="false">R176+S176</f>
        <v>0</v>
      </c>
      <c r="R176" s="197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54"/>
      <c r="B177" s="18"/>
      <c r="C177" s="56"/>
      <c r="D177" s="56"/>
      <c r="E177" s="56"/>
      <c r="F177" s="138" t="s">
        <v>205</v>
      </c>
      <c r="G177" s="152" t="s">
        <v>26</v>
      </c>
      <c r="H177" s="153" t="n">
        <v>3</v>
      </c>
      <c r="I177" s="200" t="n">
        <v>2</v>
      </c>
      <c r="J177" s="200" t="n">
        <v>2</v>
      </c>
      <c r="K177" s="201" t="n">
        <v>3524</v>
      </c>
      <c r="L177" s="201" t="n">
        <f aca="false">M177+N177</f>
        <v>0</v>
      </c>
      <c r="M177" s="201"/>
      <c r="N177" s="156"/>
      <c r="O177" s="203"/>
      <c r="P177" s="201"/>
      <c r="Q177" s="201" t="n">
        <f aca="false">R177+S177</f>
        <v>0</v>
      </c>
      <c r="R177" s="201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33"/>
      <c r="B178" s="34" t="s">
        <v>152</v>
      </c>
      <c r="C178" s="35" t="s">
        <v>20</v>
      </c>
      <c r="D178" s="35"/>
      <c r="E178" s="35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4</v>
      </c>
      <c r="P178" s="161" t="n">
        <v>7400.4</v>
      </c>
      <c r="Q178" s="161" t="n">
        <f aca="false">R178+S178</f>
        <v>7400.4</v>
      </c>
      <c r="R178" s="161" t="n">
        <v>7400.4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206</v>
      </c>
      <c r="G179" s="164" t="s">
        <v>26</v>
      </c>
      <c r="H179" s="171" t="n">
        <v>4</v>
      </c>
      <c r="I179" s="165"/>
      <c r="J179" s="165" t="n">
        <v>1</v>
      </c>
      <c r="K179" s="166" t="n">
        <v>704.8</v>
      </c>
      <c r="L179" s="166" t="n">
        <v>0</v>
      </c>
      <c r="M179" s="166" t="n">
        <v>0</v>
      </c>
      <c r="N179" s="156"/>
      <c r="O179" s="168" t="n">
        <v>6</v>
      </c>
      <c r="P179" s="166" t="n">
        <v>7048</v>
      </c>
      <c r="Q179" s="161" t="n">
        <f aca="false">R179+S179</f>
        <v>6959.9</v>
      </c>
      <c r="R179" s="166" t="n">
        <f aca="false">2731.1+4228.8</f>
        <v>6959.9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122</v>
      </c>
      <c r="C180" s="19" t="s">
        <v>20</v>
      </c>
      <c r="D180" s="19"/>
      <c r="E180" s="19" t="s">
        <v>116</v>
      </c>
      <c r="F180" s="20"/>
      <c r="G180" s="146" t="s">
        <v>22</v>
      </c>
      <c r="H180" s="159" t="n">
        <v>26</v>
      </c>
      <c r="I180" s="148" t="n">
        <v>21</v>
      </c>
      <c r="J180" s="148" t="n">
        <v>25</v>
      </c>
      <c r="K180" s="149" t="n">
        <v>36711.89</v>
      </c>
      <c r="L180" s="149" t="n">
        <f aca="false">M180+N180</f>
        <v>32759.12</v>
      </c>
      <c r="M180" s="149" t="n">
        <v>11563.14</v>
      </c>
      <c r="N180" s="190" t="n">
        <v>21195.98</v>
      </c>
      <c r="O180" s="151" t="n">
        <v>25</v>
      </c>
      <c r="P180" s="149" t="n">
        <v>83681.13</v>
      </c>
      <c r="Q180" s="149" t="n">
        <f aca="false">R180+S180</f>
        <v>61568.09</v>
      </c>
      <c r="R180" s="149" t="n">
        <v>38935.35</v>
      </c>
      <c r="S180" s="190" t="n">
        <v>22632.74</v>
      </c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57"/>
      <c r="G181" s="152" t="s">
        <v>26</v>
      </c>
      <c r="H181" s="153"/>
      <c r="I181" s="154"/>
      <c r="J181" s="154"/>
      <c r="K181" s="155"/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.75" hidden="false" customHeight="true" outlineLevel="0" collapsed="false">
      <c r="A182" s="33"/>
      <c r="B182" s="34" t="s">
        <v>123</v>
      </c>
      <c r="C182" s="35" t="s">
        <v>20</v>
      </c>
      <c r="D182" s="35"/>
      <c r="E182" s="35" t="s">
        <v>25</v>
      </c>
      <c r="F182" s="36"/>
      <c r="G182" s="146" t="s">
        <v>22</v>
      </c>
      <c r="H182" s="159" t="n">
        <v>3</v>
      </c>
      <c r="I182" s="160" t="n">
        <v>3</v>
      </c>
      <c r="J182" s="160" t="n">
        <v>3</v>
      </c>
      <c r="K182" s="161" t="n">
        <v>2255.36</v>
      </c>
      <c r="L182" s="161" t="n">
        <f aca="false">M182+N182</f>
        <v>2255.36</v>
      </c>
      <c r="M182" s="161" t="n">
        <v>881</v>
      </c>
      <c r="N182" s="190" t="n">
        <v>1374.36</v>
      </c>
      <c r="O182" s="163" t="n">
        <v>6</v>
      </c>
      <c r="P182" s="161" t="n">
        <v>10868.41</v>
      </c>
      <c r="Q182" s="161" t="n">
        <f aca="false">R182+S182</f>
        <v>10868.41</v>
      </c>
      <c r="R182" s="161" t="n">
        <v>10269.33</v>
      </c>
      <c r="S182" s="190" t="n">
        <v>599.08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207</v>
      </c>
      <c r="G183" s="164" t="s">
        <v>26</v>
      </c>
      <c r="H183" s="153" t="n">
        <v>3</v>
      </c>
      <c r="I183" s="165"/>
      <c r="J183" s="165"/>
      <c r="K183" s="166"/>
      <c r="L183" s="161" t="n">
        <f aca="false">M183+N183</f>
        <v>0</v>
      </c>
      <c r="M183" s="166" t="n">
        <v>0</v>
      </c>
      <c r="N183" s="156"/>
      <c r="O183" s="168" t="n">
        <v>1</v>
      </c>
      <c r="P183" s="166"/>
      <c r="Q183" s="166" t="n">
        <f aca="false">R183+S183</f>
        <v>881</v>
      </c>
      <c r="R183" s="166" t="n">
        <f aca="false">881</f>
        <v>881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17"/>
      <c r="B184" s="18" t="s">
        <v>124</v>
      </c>
      <c r="C184" s="19" t="s">
        <v>20</v>
      </c>
      <c r="D184" s="19"/>
      <c r="E184" s="19" t="s">
        <v>88</v>
      </c>
      <c r="F184" s="20"/>
      <c r="G184" s="146" t="s">
        <v>22</v>
      </c>
      <c r="H184" s="159" t="n">
        <v>9</v>
      </c>
      <c r="I184" s="148" t="n">
        <v>5</v>
      </c>
      <c r="J184" s="148" t="n">
        <v>5</v>
      </c>
      <c r="K184" s="149" t="n">
        <v>9703.52</v>
      </c>
      <c r="L184" s="149" t="n">
        <f aca="false">M184+N184</f>
        <v>5959.27</v>
      </c>
      <c r="M184" s="149"/>
      <c r="N184" s="190" t="n">
        <v>5959.27</v>
      </c>
      <c r="O184" s="151" t="n">
        <v>7</v>
      </c>
      <c r="P184" s="149" t="n">
        <v>19070.72</v>
      </c>
      <c r="Q184" s="149" t="n">
        <f aca="false">R184+S184</f>
        <v>19070.72</v>
      </c>
      <c r="R184" s="149" t="n">
        <v>14475.42</v>
      </c>
      <c r="S184" s="190" t="n">
        <v>4595.3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42" t="s">
        <v>245</v>
      </c>
      <c r="G185" s="164" t="s">
        <v>23</v>
      </c>
      <c r="H185" s="172" t="n">
        <v>8</v>
      </c>
      <c r="I185" s="165" t="n">
        <v>1</v>
      </c>
      <c r="J185" s="165" t="n">
        <v>1</v>
      </c>
      <c r="K185" s="166" t="n">
        <v>528.6</v>
      </c>
      <c r="L185" s="166" t="n">
        <v>0</v>
      </c>
      <c r="M185" s="166"/>
      <c r="N185" s="156"/>
      <c r="O185" s="168" t="n">
        <v>6</v>
      </c>
      <c r="P185" s="166" t="n">
        <v>9061.9</v>
      </c>
      <c r="Q185" s="166" t="n">
        <v>8092.8</v>
      </c>
      <c r="R185" s="166" t="n">
        <v>8092.8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208</v>
      </c>
      <c r="C186" s="19"/>
      <c r="D186" s="19"/>
      <c r="E186" s="127"/>
      <c r="F186" s="20"/>
      <c r="G186" s="146" t="s">
        <v>22</v>
      </c>
      <c r="H186" s="173" t="n">
        <v>26</v>
      </c>
      <c r="I186" s="148" t="n">
        <v>3</v>
      </c>
      <c r="J186" s="148" t="n">
        <v>3</v>
      </c>
      <c r="K186" s="149" t="n">
        <v>3728.39</v>
      </c>
      <c r="L186" s="149" t="n">
        <f aca="false">M186+N186</f>
        <v>2396.32</v>
      </c>
      <c r="M186" s="149" t="n">
        <v>2396.32</v>
      </c>
      <c r="N186" s="190"/>
      <c r="O186" s="151"/>
      <c r="P186" s="149"/>
      <c r="Q186" s="149" t="n">
        <f aca="false">R186+S186</f>
        <v>0</v>
      </c>
      <c r="R186" s="149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28"/>
      <c r="F187" s="26" t="s">
        <v>246</v>
      </c>
      <c r="G187" s="152" t="s">
        <v>23</v>
      </c>
      <c r="H187" s="174" t="n">
        <v>7</v>
      </c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125</v>
      </c>
      <c r="C188" s="35" t="s">
        <v>33</v>
      </c>
      <c r="D188" s="35" t="s">
        <v>126</v>
      </c>
      <c r="E188" s="35" t="s">
        <v>127</v>
      </c>
      <c r="F188" s="36"/>
      <c r="G188" s="158" t="s">
        <v>22</v>
      </c>
      <c r="H188" s="159" t="n">
        <v>9</v>
      </c>
      <c r="I188" s="160" t="n">
        <v>5</v>
      </c>
      <c r="J188" s="160" t="n">
        <v>6</v>
      </c>
      <c r="K188" s="161" t="n">
        <v>7126.5</v>
      </c>
      <c r="L188" s="161" t="n">
        <f aca="false">M188+N188</f>
        <v>7126.5</v>
      </c>
      <c r="M188" s="161" t="n">
        <v>2128.14</v>
      </c>
      <c r="N188" s="190" t="n">
        <v>4998.36</v>
      </c>
      <c r="O188" s="163" t="n">
        <v>14</v>
      </c>
      <c r="P188" s="161" t="n">
        <v>33154.57</v>
      </c>
      <c r="Q188" s="161" t="n">
        <f aca="false">R188+S188</f>
        <v>32035.95</v>
      </c>
      <c r="R188" s="161" t="n">
        <v>15275.34</v>
      </c>
      <c r="S188" s="190" t="n">
        <v>16760.61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164" t="s">
        <v>23</v>
      </c>
      <c r="H189" s="171" t="n">
        <v>31</v>
      </c>
      <c r="I189" s="165" t="n">
        <v>6</v>
      </c>
      <c r="J189" s="165" t="n">
        <v>6</v>
      </c>
      <c r="K189" s="166" t="n">
        <v>10924.4</v>
      </c>
      <c r="L189" s="166" t="n">
        <v>5109.8</v>
      </c>
      <c r="M189" s="166" t="n">
        <v>5109.8</v>
      </c>
      <c r="N189" s="156"/>
      <c r="O189" s="168" t="n">
        <v>15</v>
      </c>
      <c r="P189" s="166" t="n">
        <v>37701.4</v>
      </c>
      <c r="Q189" s="166" t="n">
        <v>25129.95</v>
      </c>
      <c r="R189" s="166" t="n">
        <v>25129.95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128</v>
      </c>
      <c r="C190" s="19" t="s">
        <v>20</v>
      </c>
      <c r="D190" s="19"/>
      <c r="E190" s="19" t="s">
        <v>25</v>
      </c>
      <c r="F190" s="20"/>
      <c r="G190" s="146" t="s">
        <v>22</v>
      </c>
      <c r="H190" s="159" t="n">
        <v>17</v>
      </c>
      <c r="I190" s="148" t="n">
        <v>10</v>
      </c>
      <c r="J190" s="148" t="n">
        <v>10</v>
      </c>
      <c r="K190" s="149" t="n">
        <v>10868.49</v>
      </c>
      <c r="L190" s="149" t="n">
        <f aca="false">M190+N190</f>
        <v>10868.49</v>
      </c>
      <c r="M190" s="149" t="n">
        <v>5466.2</v>
      </c>
      <c r="N190" s="190" t="n">
        <v>5402.29</v>
      </c>
      <c r="O190" s="151" t="n">
        <v>24</v>
      </c>
      <c r="P190" s="149" t="n">
        <v>42740.26</v>
      </c>
      <c r="Q190" s="149" t="n">
        <f aca="false">R190+S190</f>
        <v>42740.26</v>
      </c>
      <c r="R190" s="149" t="n">
        <v>22150.46</v>
      </c>
      <c r="S190" s="190" t="n">
        <v>20589.8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71"/>
      <c r="G191" s="164" t="s">
        <v>26</v>
      </c>
      <c r="H191" s="175"/>
      <c r="I191" s="165"/>
      <c r="J191" s="165"/>
      <c r="K191" s="166"/>
      <c r="L191" s="166" t="n">
        <f aca="false">M191+N191</f>
        <v>0</v>
      </c>
      <c r="M191" s="166"/>
      <c r="N191" s="156"/>
      <c r="O191" s="168"/>
      <c r="P191" s="166"/>
      <c r="Q191" s="166" t="n">
        <f aca="false">R191+S191</f>
        <v>0</v>
      </c>
      <c r="R191" s="166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227</v>
      </c>
      <c r="C192" s="19"/>
      <c r="D192" s="19"/>
      <c r="E192" s="19"/>
      <c r="F192" s="20"/>
      <c r="G192" s="204" t="s">
        <v>22</v>
      </c>
      <c r="H192" s="173" t="n">
        <v>2</v>
      </c>
      <c r="I192" s="148" t="n">
        <v>1</v>
      </c>
      <c r="J192" s="148" t="n">
        <v>1</v>
      </c>
      <c r="K192" s="149" t="n">
        <v>621.99</v>
      </c>
      <c r="L192" s="149" t="n">
        <f aca="false">M192+N192</f>
        <v>0</v>
      </c>
      <c r="M192" s="149"/>
      <c r="N192" s="190"/>
      <c r="O192" s="206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207" t="s">
        <v>26</v>
      </c>
      <c r="H193" s="174"/>
      <c r="I193" s="154"/>
      <c r="J193" s="154"/>
      <c r="K193" s="155"/>
      <c r="L193" s="155" t="n">
        <f aca="false">M193+N193</f>
        <v>0</v>
      </c>
      <c r="M193" s="155"/>
      <c r="N193" s="156"/>
      <c r="O193" s="209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129</v>
      </c>
      <c r="C194" s="35" t="s">
        <v>38</v>
      </c>
      <c r="D194" s="35" t="s">
        <v>130</v>
      </c>
      <c r="E194" s="35" t="s">
        <v>25</v>
      </c>
      <c r="F194" s="36"/>
      <c r="G194" s="158" t="s">
        <v>22</v>
      </c>
      <c r="H194" s="159" t="n">
        <v>11</v>
      </c>
      <c r="I194" s="160" t="n">
        <v>8</v>
      </c>
      <c r="J194" s="160" t="n">
        <v>8</v>
      </c>
      <c r="K194" s="161" t="n">
        <v>7208.26</v>
      </c>
      <c r="L194" s="161" t="n">
        <f aca="false">M194+N194</f>
        <v>5680.61</v>
      </c>
      <c r="M194" s="161" t="n">
        <v>3147.73</v>
      </c>
      <c r="N194" s="190" t="n">
        <v>2532.88</v>
      </c>
      <c r="O194" s="163" t="n">
        <v>3</v>
      </c>
      <c r="P194" s="161" t="n">
        <v>55205.85</v>
      </c>
      <c r="Q194" s="161" t="n">
        <f aca="false">R194+S194</f>
        <v>44463.45</v>
      </c>
      <c r="R194" s="161" t="n">
        <v>44463.45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209</v>
      </c>
      <c r="G195" s="164" t="s">
        <v>26</v>
      </c>
      <c r="H195" s="153" t="n">
        <v>3</v>
      </c>
      <c r="I195" s="165" t="n">
        <v>1</v>
      </c>
      <c r="J195" s="165" t="n">
        <v>1</v>
      </c>
      <c r="K195" s="166" t="n">
        <v>1762</v>
      </c>
      <c r="L195" s="161" t="n">
        <f aca="false">M195+N195</f>
        <v>0</v>
      </c>
      <c r="M195" s="166" t="n">
        <v>0</v>
      </c>
      <c r="N195" s="156"/>
      <c r="O195" s="168" t="n">
        <v>7</v>
      </c>
      <c r="P195" s="166" t="n">
        <v>20590.6</v>
      </c>
      <c r="Q195" s="166" t="n">
        <f aca="false">R195+S195</f>
        <v>16374.2</v>
      </c>
      <c r="R195" s="166" t="n">
        <f aca="false">881+881</f>
        <v>1762</v>
      </c>
      <c r="S195" s="167" t="n">
        <v>14612.2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6.5" hidden="false" customHeight="true" outlineLevel="0" collapsed="false">
      <c r="A196" s="17"/>
      <c r="B196" s="18" t="s">
        <v>131</v>
      </c>
      <c r="C196" s="19" t="s">
        <v>38</v>
      </c>
      <c r="D196" s="19" t="s">
        <v>130</v>
      </c>
      <c r="E196" s="19" t="s">
        <v>25</v>
      </c>
      <c r="F196" s="20"/>
      <c r="G196" s="146" t="s">
        <v>22</v>
      </c>
      <c r="H196" s="159" t="n">
        <v>9</v>
      </c>
      <c r="I196" s="148" t="n">
        <v>7</v>
      </c>
      <c r="J196" s="148" t="n">
        <v>11</v>
      </c>
      <c r="K196" s="149" t="n">
        <v>25996.1</v>
      </c>
      <c r="L196" s="149" t="n">
        <f aca="false">M196+N196</f>
        <v>25996.1</v>
      </c>
      <c r="M196" s="149" t="n">
        <v>13633.47</v>
      </c>
      <c r="N196" s="190" t="n">
        <v>12362.63</v>
      </c>
      <c r="O196" s="151" t="n">
        <v>14</v>
      </c>
      <c r="P196" s="149" t="n">
        <v>65810.62</v>
      </c>
      <c r="Q196" s="149" t="n">
        <f aca="false">R196+S196</f>
        <v>58274.05</v>
      </c>
      <c r="R196" s="149" t="n">
        <v>55278.65</v>
      </c>
      <c r="S196" s="198" t="n">
        <v>2995.4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6.5" hidden="false" customHeight="true" outlineLevel="0" collapsed="false">
      <c r="A197" s="17"/>
      <c r="B197" s="18"/>
      <c r="C197" s="18"/>
      <c r="D197" s="18"/>
      <c r="E197" s="18"/>
      <c r="F197" s="26" t="s">
        <v>210</v>
      </c>
      <c r="G197" s="152" t="s">
        <v>26</v>
      </c>
      <c r="H197" s="153" t="n">
        <v>3</v>
      </c>
      <c r="I197" s="154" t="n">
        <v>2</v>
      </c>
      <c r="J197" s="154" t="n">
        <v>2</v>
      </c>
      <c r="K197" s="155" t="n">
        <v>1585.8</v>
      </c>
      <c r="L197" s="155" t="n">
        <f aca="false">M197+N197</f>
        <v>1585.8</v>
      </c>
      <c r="M197" s="155"/>
      <c r="N197" s="156" t="n">
        <v>1585.8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33"/>
      <c r="B198" s="34" t="s">
        <v>132</v>
      </c>
      <c r="C198" s="35" t="s">
        <v>20</v>
      </c>
      <c r="D198" s="35"/>
      <c r="E198" s="35" t="s">
        <v>69</v>
      </c>
      <c r="F198" s="38"/>
      <c r="G198" s="146" t="s">
        <v>22</v>
      </c>
      <c r="H198" s="159" t="n">
        <v>8</v>
      </c>
      <c r="I198" s="160" t="n">
        <v>7</v>
      </c>
      <c r="J198" s="160" t="n">
        <v>11</v>
      </c>
      <c r="K198" s="161" t="n">
        <v>23368.97</v>
      </c>
      <c r="L198" s="161" t="n">
        <f aca="false">M198+N198</f>
        <v>23368.97</v>
      </c>
      <c r="M198" s="161" t="n">
        <v>1973.48</v>
      </c>
      <c r="N198" s="190" t="n">
        <v>21395.49</v>
      </c>
      <c r="O198" s="163" t="n">
        <v>11</v>
      </c>
      <c r="P198" s="161" t="n">
        <v>34976.18</v>
      </c>
      <c r="Q198" s="161" t="n">
        <f aca="false">R198+S198</f>
        <v>28827.93</v>
      </c>
      <c r="R198" s="161" t="n">
        <v>28827.93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33"/>
      <c r="B199" s="34"/>
      <c r="C199" s="34"/>
      <c r="D199" s="34"/>
      <c r="E199" s="34"/>
      <c r="F199" s="42" t="s">
        <v>211</v>
      </c>
      <c r="G199" s="164" t="s">
        <v>26</v>
      </c>
      <c r="H199" s="153" t="n">
        <v>8</v>
      </c>
      <c r="I199" s="165" t="n">
        <v>3</v>
      </c>
      <c r="J199" s="165" t="n">
        <v>3</v>
      </c>
      <c r="K199" s="166" t="n">
        <v>10184.36</v>
      </c>
      <c r="L199" s="166" t="n">
        <f aca="false">M199+N199</f>
        <v>0</v>
      </c>
      <c r="M199" s="166"/>
      <c r="N199" s="156"/>
      <c r="O199" s="168" t="n">
        <v>1</v>
      </c>
      <c r="P199" s="166" t="n">
        <v>3700.2</v>
      </c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72"/>
      <c r="B200" s="73" t="s">
        <v>133</v>
      </c>
      <c r="C200" s="74" t="s">
        <v>20</v>
      </c>
      <c r="D200" s="74"/>
      <c r="E200" s="74" t="s">
        <v>25</v>
      </c>
      <c r="F200" s="22"/>
      <c r="G200" s="146" t="s">
        <v>22</v>
      </c>
      <c r="H200" s="159" t="n">
        <v>4</v>
      </c>
      <c r="I200" s="148" t="n">
        <v>2</v>
      </c>
      <c r="J200" s="148" t="n">
        <v>2</v>
      </c>
      <c r="K200" s="149" t="n">
        <v>3312.63</v>
      </c>
      <c r="L200" s="149" t="n">
        <f aca="false">M200+N200</f>
        <v>2784.03</v>
      </c>
      <c r="M200" s="149" t="n">
        <v>2784.03</v>
      </c>
      <c r="N200" s="190"/>
      <c r="O200" s="151" t="n">
        <v>2</v>
      </c>
      <c r="P200" s="149" t="n">
        <v>4329.79</v>
      </c>
      <c r="Q200" s="149" t="n">
        <f aca="false">R200+S200</f>
        <v>4329.79</v>
      </c>
      <c r="R200" s="149" t="n">
        <v>4329.79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72"/>
      <c r="B201" s="73"/>
      <c r="C201" s="73"/>
      <c r="D201" s="73"/>
      <c r="E201" s="73"/>
      <c r="F201" s="42" t="s">
        <v>212</v>
      </c>
      <c r="G201" s="164" t="s">
        <v>26</v>
      </c>
      <c r="H201" s="171" t="n">
        <v>4</v>
      </c>
      <c r="I201" s="165" t="n">
        <v>1</v>
      </c>
      <c r="J201" s="165" t="n">
        <v>1</v>
      </c>
      <c r="K201" s="166" t="n">
        <v>1409.6</v>
      </c>
      <c r="L201" s="166" t="n">
        <f aca="false">M201+N201</f>
        <v>1409.6</v>
      </c>
      <c r="M201" s="166" t="n">
        <f aca="false">1409.6</f>
        <v>1409.6</v>
      </c>
      <c r="N201" s="156"/>
      <c r="O201" s="168" t="n">
        <v>2</v>
      </c>
      <c r="P201" s="166" t="n">
        <v>1321.5</v>
      </c>
      <c r="Q201" s="166" t="n">
        <f aca="false">R201+S201</f>
        <v>1321.5</v>
      </c>
      <c r="R201" s="166"/>
      <c r="S201" s="156" t="n">
        <v>1321.5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134</v>
      </c>
      <c r="C202" s="74" t="s">
        <v>20</v>
      </c>
      <c r="D202" s="74"/>
      <c r="E202" s="74" t="s">
        <v>25</v>
      </c>
      <c r="F202" s="20"/>
      <c r="G202" s="146" t="s">
        <v>22</v>
      </c>
      <c r="H202" s="169"/>
      <c r="I202" s="148"/>
      <c r="J202" s="148"/>
      <c r="K202" s="149"/>
      <c r="L202" s="149" t="n">
        <f aca="false">M202+N202</f>
        <v>0</v>
      </c>
      <c r="M202" s="149"/>
      <c r="N202" s="190"/>
      <c r="O202" s="151" t="n">
        <v>1</v>
      </c>
      <c r="P202" s="149" t="n">
        <v>13019.26</v>
      </c>
      <c r="Q202" s="149" t="n">
        <f aca="false">R202+S202</f>
        <v>13019.26</v>
      </c>
      <c r="R202" s="149" t="n">
        <v>13019.26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72"/>
      <c r="B203" s="73"/>
      <c r="C203" s="73"/>
      <c r="D203" s="73"/>
      <c r="E203" s="73"/>
      <c r="F203" s="42" t="s">
        <v>213</v>
      </c>
      <c r="G203" s="164" t="s">
        <v>26</v>
      </c>
      <c r="H203" s="153" t="n">
        <v>2</v>
      </c>
      <c r="I203" s="165"/>
      <c r="J203" s="165"/>
      <c r="K203" s="166"/>
      <c r="L203" s="166" t="n">
        <f aca="false">M203+N203</f>
        <v>0</v>
      </c>
      <c r="M203" s="166"/>
      <c r="N203" s="156"/>
      <c r="O203" s="168" t="n">
        <v>5</v>
      </c>
      <c r="P203" s="166" t="n">
        <v>23840.15</v>
      </c>
      <c r="Q203" s="166" t="n">
        <f aca="false">R203+S203</f>
        <v>19875.62</v>
      </c>
      <c r="R203" s="166"/>
      <c r="S203" s="156" t="n">
        <v>19875.62</v>
      </c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17"/>
      <c r="B204" s="18" t="s">
        <v>135</v>
      </c>
      <c r="C204" s="19" t="s">
        <v>20</v>
      </c>
      <c r="D204" s="19"/>
      <c r="E204" s="19" t="s">
        <v>69</v>
      </c>
      <c r="F204" s="22"/>
      <c r="G204" s="146" t="s">
        <v>22</v>
      </c>
      <c r="H204" s="159" t="n">
        <v>10</v>
      </c>
      <c r="I204" s="148" t="n">
        <v>4</v>
      </c>
      <c r="J204" s="148" t="n">
        <v>4</v>
      </c>
      <c r="K204" s="149" t="n">
        <v>5030.51</v>
      </c>
      <c r="L204" s="149" t="n">
        <f aca="false">M204+N204</f>
        <v>4158.32</v>
      </c>
      <c r="M204" s="149" t="n">
        <v>2995.4</v>
      </c>
      <c r="N204" s="190" t="n">
        <v>1162.92</v>
      </c>
      <c r="O204" s="151" t="n">
        <v>12</v>
      </c>
      <c r="P204" s="149" t="n">
        <v>22594.45</v>
      </c>
      <c r="Q204" s="149" t="n">
        <f aca="false">R204+S204</f>
        <v>16446.2</v>
      </c>
      <c r="R204" s="149" t="n">
        <v>14331.8</v>
      </c>
      <c r="S204" s="190" t="n">
        <v>2114.4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277</v>
      </c>
      <c r="G205" s="152" t="s">
        <v>26</v>
      </c>
      <c r="H205" s="171" t="n">
        <v>6</v>
      </c>
      <c r="I205" s="154"/>
      <c r="J205" s="154" t="n">
        <v>2</v>
      </c>
      <c r="K205" s="155" t="n">
        <v>1409.6</v>
      </c>
      <c r="L205" s="155" t="n">
        <f aca="false">M205+N205</f>
        <v>0</v>
      </c>
      <c r="M205" s="155"/>
      <c r="N205" s="156"/>
      <c r="O205" s="157" t="n">
        <v>2</v>
      </c>
      <c r="P205" s="155" t="n">
        <v>2292.9</v>
      </c>
      <c r="Q205" s="155" t="n">
        <f aca="false">R205+S205</f>
        <v>792.9</v>
      </c>
      <c r="R205" s="155" t="n">
        <f aca="false">792.9</f>
        <v>792.9</v>
      </c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136</v>
      </c>
      <c r="C206" s="35" t="s">
        <v>20</v>
      </c>
      <c r="D206" s="35"/>
      <c r="E206" s="35" t="s">
        <v>98</v>
      </c>
      <c r="F206" s="36"/>
      <c r="G206" s="146" t="s">
        <v>22</v>
      </c>
      <c r="H206" s="159" t="n">
        <v>18</v>
      </c>
      <c r="I206" s="160" t="n">
        <v>9</v>
      </c>
      <c r="J206" s="160" t="n">
        <v>12</v>
      </c>
      <c r="K206" s="161" t="n">
        <v>20218.61</v>
      </c>
      <c r="L206" s="161" t="n">
        <f aca="false">M206+N206</f>
        <v>20218.61</v>
      </c>
      <c r="M206" s="161" t="n">
        <v>20218.61</v>
      </c>
      <c r="N206" s="190"/>
      <c r="O206" s="163" t="n">
        <v>9</v>
      </c>
      <c r="P206" s="161" t="n">
        <v>14877.54</v>
      </c>
      <c r="Q206" s="161" t="n">
        <f aca="false">R206+S206</f>
        <v>14877.54</v>
      </c>
      <c r="R206" s="161" t="n">
        <v>14877.54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247</v>
      </c>
      <c r="G207" s="164" t="s">
        <v>23</v>
      </c>
      <c r="H207" s="171" t="n">
        <v>6</v>
      </c>
      <c r="I207" s="165" t="n">
        <v>6</v>
      </c>
      <c r="J207" s="165" t="n">
        <v>6</v>
      </c>
      <c r="K207" s="166" t="n">
        <v>4581.2</v>
      </c>
      <c r="L207" s="166" t="n">
        <f aca="false">M207+N207</f>
        <v>4052.6</v>
      </c>
      <c r="M207" s="166" t="n">
        <v>4052.6</v>
      </c>
      <c r="N207" s="156"/>
      <c r="O207" s="168" t="n">
        <v>7</v>
      </c>
      <c r="P207" s="166" t="n">
        <v>14800.8</v>
      </c>
      <c r="Q207" s="166" t="n">
        <v>5638.4</v>
      </c>
      <c r="R207" s="166" t="n">
        <v>5638.4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17"/>
      <c r="B208" s="18" t="s">
        <v>137</v>
      </c>
      <c r="C208" s="19" t="s">
        <v>20</v>
      </c>
      <c r="D208" s="19"/>
      <c r="E208" s="19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/>
      <c r="P208" s="149"/>
      <c r="Q208" s="149" t="n">
        <f aca="false">R208+S208</f>
        <v>0</v>
      </c>
      <c r="R208" s="149"/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20.25" hidden="false" customHeight="true" outlineLevel="0" collapsed="false">
      <c r="A209" s="17"/>
      <c r="B209" s="18"/>
      <c r="C209" s="18"/>
      <c r="D209" s="18"/>
      <c r="E209" s="18"/>
      <c r="F209" s="26" t="s">
        <v>286</v>
      </c>
      <c r="G209" s="152" t="s">
        <v>26</v>
      </c>
      <c r="H209" s="153" t="n">
        <v>8</v>
      </c>
      <c r="I209" s="154" t="n">
        <v>1</v>
      </c>
      <c r="J209" s="154" t="n">
        <v>1</v>
      </c>
      <c r="K209" s="155" t="n">
        <v>1938.2</v>
      </c>
      <c r="L209" s="155" t="n">
        <f aca="false">M209+N209</f>
        <v>0</v>
      </c>
      <c r="M209" s="155"/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54"/>
      <c r="B210" s="55" t="s">
        <v>138</v>
      </c>
      <c r="C210" s="56" t="s">
        <v>33</v>
      </c>
      <c r="D210" s="56" t="s">
        <v>139</v>
      </c>
      <c r="E210" s="56" t="s">
        <v>25</v>
      </c>
      <c r="F210" s="36"/>
      <c r="G210" s="146" t="s">
        <v>22</v>
      </c>
      <c r="H210" s="169"/>
      <c r="I210" s="160"/>
      <c r="J210" s="160"/>
      <c r="K210" s="161"/>
      <c r="L210" s="161" t="n">
        <f aca="false">M210+N210</f>
        <v>0</v>
      </c>
      <c r="M210" s="161"/>
      <c r="N210" s="190"/>
      <c r="O210" s="163"/>
      <c r="P210" s="161"/>
      <c r="Q210" s="161" t="n">
        <f aca="false">R210+S210</f>
        <v>0</v>
      </c>
      <c r="R210" s="161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54"/>
      <c r="B211" s="55"/>
      <c r="C211" s="55"/>
      <c r="D211" s="55"/>
      <c r="E211" s="55"/>
      <c r="F211" s="26" t="s">
        <v>214</v>
      </c>
      <c r="G211" s="152" t="s">
        <v>26</v>
      </c>
      <c r="H211" s="171" t="n">
        <v>5</v>
      </c>
      <c r="I211" s="154" t="n">
        <v>1</v>
      </c>
      <c r="J211" s="154" t="n">
        <v>1</v>
      </c>
      <c r="K211" s="155" t="n">
        <v>2466.8</v>
      </c>
      <c r="L211" s="155" t="n">
        <f aca="false">M211+N211</f>
        <v>2466.8</v>
      </c>
      <c r="M211" s="155" t="n">
        <f aca="false">2466.8</f>
        <v>2466.8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33"/>
      <c r="B212" s="34" t="s">
        <v>140</v>
      </c>
      <c r="C212" s="35" t="s">
        <v>20</v>
      </c>
      <c r="D212" s="35"/>
      <c r="E212" s="35" t="s">
        <v>141</v>
      </c>
      <c r="F212" s="36"/>
      <c r="G212" s="146" t="s">
        <v>22</v>
      </c>
      <c r="H212" s="159" t="n">
        <v>13</v>
      </c>
      <c r="I212" s="160" t="n">
        <v>3</v>
      </c>
      <c r="J212" s="160" t="n">
        <v>3</v>
      </c>
      <c r="K212" s="161" t="n">
        <v>3881.13</v>
      </c>
      <c r="L212" s="161" t="n">
        <f aca="false">M212+N212</f>
        <v>3881.13</v>
      </c>
      <c r="M212" s="161" t="n">
        <v>3881.13</v>
      </c>
      <c r="N212" s="190"/>
      <c r="O212" s="163" t="n">
        <v>8</v>
      </c>
      <c r="P212" s="161" t="n">
        <v>21585.86</v>
      </c>
      <c r="Q212" s="161" t="n">
        <f aca="false">R212+S212</f>
        <v>21585.86</v>
      </c>
      <c r="R212" s="161" t="n">
        <v>21585.86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215</v>
      </c>
      <c r="G213" s="164" t="s">
        <v>26</v>
      </c>
      <c r="H213" s="175" t="n">
        <v>1</v>
      </c>
      <c r="I213" s="165"/>
      <c r="J213" s="165"/>
      <c r="K213" s="166"/>
      <c r="L213" s="166" t="n">
        <f aca="false">M213+N213</f>
        <v>0</v>
      </c>
      <c r="M213" s="166"/>
      <c r="N213" s="156"/>
      <c r="O213" s="168"/>
      <c r="P213" s="166"/>
      <c r="Q213" s="166" t="n">
        <f aca="false">R213+S213</f>
        <v>0</v>
      </c>
      <c r="R213" s="166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251</v>
      </c>
      <c r="C214" s="19" t="s">
        <v>20</v>
      </c>
      <c r="D214" s="19"/>
      <c r="E214" s="19" t="s">
        <v>116</v>
      </c>
      <c r="F214" s="20"/>
      <c r="G214" s="146" t="s">
        <v>22</v>
      </c>
      <c r="H214" s="173" t="n">
        <v>4</v>
      </c>
      <c r="I214" s="148" t="n">
        <v>3</v>
      </c>
      <c r="J214" s="148" t="n">
        <v>3</v>
      </c>
      <c r="K214" s="149" t="n">
        <v>3851.92</v>
      </c>
      <c r="L214" s="149"/>
      <c r="M214" s="149"/>
      <c r="N214" s="190"/>
      <c r="O214" s="206"/>
      <c r="P214" s="149"/>
      <c r="Q214" s="149"/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17"/>
      <c r="B215" s="18"/>
      <c r="C215" s="18"/>
      <c r="D215" s="18"/>
      <c r="E215" s="18"/>
      <c r="F215" s="26" t="s">
        <v>252</v>
      </c>
      <c r="G215" s="152" t="s">
        <v>26</v>
      </c>
      <c r="H215" s="174" t="n">
        <v>5</v>
      </c>
      <c r="I215" s="154"/>
      <c r="J215" s="154"/>
      <c r="K215" s="155"/>
      <c r="L215" s="155"/>
      <c r="M215" s="155"/>
      <c r="N215" s="156"/>
      <c r="O215" s="209"/>
      <c r="P215" s="155"/>
      <c r="Q215" s="155"/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142</v>
      </c>
      <c r="C216" s="56" t="s">
        <v>20</v>
      </c>
      <c r="D216" s="56"/>
      <c r="E216" s="56" t="s">
        <v>25</v>
      </c>
      <c r="F216" s="36"/>
      <c r="G216" s="158" t="s">
        <v>22</v>
      </c>
      <c r="H216" s="173" t="n">
        <v>4</v>
      </c>
      <c r="I216" s="148" t="n">
        <v>3</v>
      </c>
      <c r="J216" s="148" t="n">
        <v>3</v>
      </c>
      <c r="K216" s="149" t="n">
        <v>1656.28</v>
      </c>
      <c r="L216" s="149" t="n">
        <f aca="false">M216+N216</f>
        <v>1656.28</v>
      </c>
      <c r="M216" s="149" t="n">
        <v>1656.28</v>
      </c>
      <c r="N216" s="190"/>
      <c r="O216" s="228" t="n">
        <v>4</v>
      </c>
      <c r="P216" s="161" t="n">
        <v>5104.51</v>
      </c>
      <c r="Q216" s="161" t="n">
        <f aca="false">R216+S216</f>
        <v>3342.51</v>
      </c>
      <c r="R216" s="161" t="n">
        <v>3342.51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42" t="s">
        <v>216</v>
      </c>
      <c r="G217" s="164" t="s">
        <v>26</v>
      </c>
      <c r="H217" s="177" t="n">
        <v>7</v>
      </c>
      <c r="I217" s="165" t="n">
        <v>3</v>
      </c>
      <c r="J217" s="165" t="n">
        <v>3</v>
      </c>
      <c r="K217" s="166" t="n">
        <v>5990.8</v>
      </c>
      <c r="L217" s="166" t="n">
        <f aca="false">M217+N217</f>
        <v>9043.61</v>
      </c>
      <c r="M217" s="166" t="n">
        <f aca="false">3052.81</f>
        <v>3052.81</v>
      </c>
      <c r="N217" s="167" t="n">
        <v>5990.8</v>
      </c>
      <c r="O217" s="238" t="n">
        <v>11</v>
      </c>
      <c r="P217" s="166" t="n">
        <v>7343.2</v>
      </c>
      <c r="Q217" s="166" t="n">
        <f aca="false">R217+S217</f>
        <v>4876.19</v>
      </c>
      <c r="R217" s="166" t="n">
        <f aca="false">823.59+1233.4</f>
        <v>2056.99</v>
      </c>
      <c r="S217" s="167" t="n">
        <f aca="false">4052.6-1233.4</f>
        <v>2819.2</v>
      </c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287</v>
      </c>
      <c r="C218" s="56" t="s">
        <v>20</v>
      </c>
      <c r="D218" s="19"/>
      <c r="E218" s="56" t="s">
        <v>25</v>
      </c>
      <c r="F218" s="20"/>
      <c r="G218" s="146" t="s">
        <v>22</v>
      </c>
      <c r="H218" s="147"/>
      <c r="I218" s="148"/>
      <c r="J218" s="148"/>
      <c r="K218" s="149"/>
      <c r="L218" s="149" t="n">
        <f aca="false">M218+N218</f>
        <v>0</v>
      </c>
      <c r="M218" s="149"/>
      <c r="N218" s="150"/>
      <c r="O218" s="206"/>
      <c r="P218" s="149"/>
      <c r="Q218" s="149" t="n">
        <f aca="false">R218+S218</f>
        <v>0</v>
      </c>
      <c r="R218" s="149"/>
      <c r="S218" s="15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288</v>
      </c>
      <c r="G219" s="152" t="s">
        <v>26</v>
      </c>
      <c r="H219" s="176" t="n">
        <v>3</v>
      </c>
      <c r="I219" s="154" t="n">
        <v>3</v>
      </c>
      <c r="J219" s="154" t="n">
        <v>3</v>
      </c>
      <c r="K219" s="155" t="n">
        <v>3171.6</v>
      </c>
      <c r="L219" s="155" t="n">
        <f aca="false">M219+N219</f>
        <v>0</v>
      </c>
      <c r="M219" s="155"/>
      <c r="N219" s="156"/>
      <c r="O219" s="209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143</v>
      </c>
      <c r="C220" s="35" t="s">
        <v>20</v>
      </c>
      <c r="D220" s="35"/>
      <c r="E220" s="35" t="s">
        <v>25</v>
      </c>
      <c r="F220" s="36"/>
      <c r="G220" s="158" t="s">
        <v>22</v>
      </c>
      <c r="H220" s="169"/>
      <c r="I220" s="160"/>
      <c r="J220" s="160"/>
      <c r="K220" s="161"/>
      <c r="L220" s="161" t="n">
        <f aca="false">M220+N220</f>
        <v>0</v>
      </c>
      <c r="M220" s="161"/>
      <c r="N220" s="190"/>
      <c r="O220" s="163" t="n">
        <v>1</v>
      </c>
      <c r="P220" s="161" t="n">
        <v>1515.67</v>
      </c>
      <c r="Q220" s="161" t="n">
        <f aca="false">R220+S220</f>
        <v>1515.67</v>
      </c>
      <c r="R220" s="161" t="n">
        <v>1515.67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217</v>
      </c>
      <c r="G221" s="164" t="s">
        <v>26</v>
      </c>
      <c r="H221" s="171" t="n">
        <v>6</v>
      </c>
      <c r="I221" s="165"/>
      <c r="J221" s="165"/>
      <c r="K221" s="166"/>
      <c r="L221" s="166" t="n">
        <f aca="false">M221+N221</f>
        <v>704.8</v>
      </c>
      <c r="M221" s="166"/>
      <c r="N221" s="156" t="n">
        <v>704.8</v>
      </c>
      <c r="O221" s="168" t="n">
        <v>6</v>
      </c>
      <c r="P221" s="166" t="n">
        <v>34775.2</v>
      </c>
      <c r="Q221" s="166" t="n">
        <f aca="false">R221+S221</f>
        <v>13743.6</v>
      </c>
      <c r="R221" s="166" t="n">
        <f aca="false">704.8</f>
        <v>704.8</v>
      </c>
      <c r="S221" s="156" t="n">
        <f aca="false">13743.6-704.8</f>
        <v>13038.8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144</v>
      </c>
      <c r="C222" s="19" t="s">
        <v>20</v>
      </c>
      <c r="D222" s="19"/>
      <c r="E222" s="19" t="s">
        <v>81</v>
      </c>
      <c r="F222" s="20"/>
      <c r="G222" s="146" t="s">
        <v>22</v>
      </c>
      <c r="H222" s="159" t="n">
        <v>8</v>
      </c>
      <c r="I222" s="148" t="n">
        <v>7</v>
      </c>
      <c r="J222" s="148" t="n">
        <v>7</v>
      </c>
      <c r="K222" s="149" t="n">
        <v>6542.31</v>
      </c>
      <c r="L222" s="149" t="n">
        <f aca="false">M222+N222</f>
        <v>2096.78</v>
      </c>
      <c r="M222" s="149" t="n">
        <v>2096.78</v>
      </c>
      <c r="N222" s="190"/>
      <c r="O222" s="151" t="n">
        <v>5</v>
      </c>
      <c r="P222" s="149" t="n">
        <v>16284.3</v>
      </c>
      <c r="Q222" s="149" t="n">
        <f aca="false">R222+S222</f>
        <v>3636.77</v>
      </c>
      <c r="R222" s="149" t="n">
        <v>3636.77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218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4052.6</v>
      </c>
      <c r="L223" s="155" t="n">
        <f aca="false">M223+N223</f>
        <v>4052.6</v>
      </c>
      <c r="M223" s="155"/>
      <c r="N223" s="156" t="n">
        <f aca="false">1762+2290.6</f>
        <v>4052.6</v>
      </c>
      <c r="O223" s="157" t="n">
        <v>2</v>
      </c>
      <c r="P223" s="155" t="n">
        <v>4493.1</v>
      </c>
      <c r="Q223" s="155" t="n">
        <f aca="false">R223+S223</f>
        <v>4493.1</v>
      </c>
      <c r="R223" s="155"/>
      <c r="S223" s="156" t="n">
        <v>4493.1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145</v>
      </c>
      <c r="C224" s="35" t="s">
        <v>20</v>
      </c>
      <c r="D224" s="35"/>
      <c r="E224" s="35" t="s">
        <v>98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71"/>
      <c r="G225" s="164" t="s">
        <v>23</v>
      </c>
      <c r="H225" s="175"/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17"/>
      <c r="B226" s="18" t="s">
        <v>146</v>
      </c>
      <c r="C226" s="19" t="s">
        <v>20</v>
      </c>
      <c r="D226" s="19"/>
      <c r="E226" s="19" t="s">
        <v>25</v>
      </c>
      <c r="F226" s="22"/>
      <c r="G226" s="146" t="s">
        <v>22</v>
      </c>
      <c r="H226" s="173" t="n">
        <v>8</v>
      </c>
      <c r="I226" s="148" t="n">
        <v>4</v>
      </c>
      <c r="J226" s="148" t="n">
        <v>4</v>
      </c>
      <c r="K226" s="149" t="n">
        <v>2819.2</v>
      </c>
      <c r="L226" s="149" t="n">
        <f aca="false">M226+N226</f>
        <v>2819.2</v>
      </c>
      <c r="M226" s="149" t="n">
        <v>2819.2</v>
      </c>
      <c r="N226" s="190"/>
      <c r="O226" s="206" t="n">
        <v>1</v>
      </c>
      <c r="P226" s="149" t="n">
        <v>1546.68</v>
      </c>
      <c r="Q226" s="149" t="n">
        <f aca="false">R226+S226</f>
        <v>1546.68</v>
      </c>
      <c r="R226" s="149" t="n">
        <v>1546.68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42" t="s">
        <v>219</v>
      </c>
      <c r="G227" s="164" t="s">
        <v>26</v>
      </c>
      <c r="H227" s="178" t="n">
        <v>1</v>
      </c>
      <c r="I227" s="165"/>
      <c r="J227" s="165"/>
      <c r="K227" s="166"/>
      <c r="L227" s="166" t="n">
        <f aca="false">M227+N227</f>
        <v>0</v>
      </c>
      <c r="M227" s="166" t="n">
        <v>0</v>
      </c>
      <c r="N227" s="167"/>
      <c r="O227" s="238" t="n">
        <v>1</v>
      </c>
      <c r="P227" s="166" t="n">
        <v>1585.8</v>
      </c>
      <c r="Q227" s="166" t="n">
        <f aca="false">R227+S227</f>
        <v>1585.8</v>
      </c>
      <c r="R227" s="166" t="n">
        <v>1585.8</v>
      </c>
      <c r="S227" s="167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289</v>
      </c>
      <c r="C228" s="19"/>
      <c r="D228" s="19"/>
      <c r="E228" s="19"/>
      <c r="F228" s="20"/>
      <c r="G228" s="146" t="s">
        <v>22</v>
      </c>
      <c r="H228" s="173" t="n">
        <v>1</v>
      </c>
      <c r="I228" s="148"/>
      <c r="J228" s="148"/>
      <c r="K228" s="149"/>
      <c r="L228" s="149" t="n">
        <f aca="false">M228+N228</f>
        <v>0</v>
      </c>
      <c r="M228" s="149"/>
      <c r="N228" s="224"/>
      <c r="O228" s="151"/>
      <c r="P228" s="149"/>
      <c r="Q228" s="149" t="n">
        <f aca="false">R228+S228</f>
        <v>0</v>
      </c>
      <c r="R228" s="149"/>
      <c r="S228" s="15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57"/>
      <c r="G229" s="152" t="s">
        <v>23</v>
      </c>
      <c r="H229" s="174" t="n">
        <v>1</v>
      </c>
      <c r="I229" s="154" t="n">
        <v>1</v>
      </c>
      <c r="J229" s="154" t="n">
        <v>1</v>
      </c>
      <c r="K229" s="155" t="n">
        <v>2325.84</v>
      </c>
      <c r="L229" s="155" t="n">
        <v>2325.84</v>
      </c>
      <c r="M229" s="155" t="n">
        <v>2325.84</v>
      </c>
      <c r="N229" s="226"/>
      <c r="O229" s="157"/>
      <c r="P229" s="155"/>
      <c r="Q229" s="155" t="n">
        <f aca="false">R229+S229</f>
        <v>0</v>
      </c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147</v>
      </c>
      <c r="C230" s="56" t="s">
        <v>20</v>
      </c>
      <c r="D230" s="56"/>
      <c r="E230" s="56" t="s">
        <v>25</v>
      </c>
      <c r="F230" s="97"/>
      <c r="G230" s="158" t="s">
        <v>22</v>
      </c>
      <c r="H230" s="159" t="n">
        <v>3</v>
      </c>
      <c r="I230" s="160" t="n">
        <v>3</v>
      </c>
      <c r="J230" s="160" t="n">
        <v>3</v>
      </c>
      <c r="K230" s="161" t="n">
        <v>2093.26</v>
      </c>
      <c r="L230" s="161" t="n">
        <f aca="false">M230+N230</f>
        <v>2093.26</v>
      </c>
      <c r="M230" s="161" t="n">
        <v>2093.26</v>
      </c>
      <c r="N230" s="190"/>
      <c r="O230" s="163" t="n">
        <v>4</v>
      </c>
      <c r="P230" s="161" t="n">
        <v>16436.74</v>
      </c>
      <c r="Q230" s="161" t="n">
        <f aca="false">R230+S230</f>
        <v>16436.74</v>
      </c>
      <c r="R230" s="161" t="n">
        <v>16436.74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26" t="s">
        <v>220</v>
      </c>
      <c r="G231" s="152" t="s">
        <v>26</v>
      </c>
      <c r="H231" s="171" t="n">
        <v>11</v>
      </c>
      <c r="I231" s="154" t="n">
        <v>1</v>
      </c>
      <c r="J231" s="154" t="n">
        <v>2</v>
      </c>
      <c r="K231" s="155" t="n">
        <v>6871.8</v>
      </c>
      <c r="L231" s="189" t="n">
        <f aca="false">M231+N231</f>
        <v>528.6</v>
      </c>
      <c r="M231" s="155" t="n">
        <v>0</v>
      </c>
      <c r="N231" s="167" t="n">
        <v>528.6</v>
      </c>
      <c r="O231" s="157" t="n">
        <v>5</v>
      </c>
      <c r="P231" s="155" t="n">
        <v>13038.8</v>
      </c>
      <c r="Q231" s="161" t="n">
        <f aca="false">R231+S231</f>
        <v>24315.6</v>
      </c>
      <c r="R231" s="155" t="n">
        <f aca="false">7048+528.6+5638.4</f>
        <v>13215</v>
      </c>
      <c r="S231" s="156" t="n">
        <v>11100.6</v>
      </c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148</v>
      </c>
      <c r="C232" s="19" t="s">
        <v>20</v>
      </c>
      <c r="D232" s="19"/>
      <c r="E232" s="19" t="s">
        <v>21</v>
      </c>
      <c r="F232" s="22"/>
      <c r="G232" s="146" t="s">
        <v>22</v>
      </c>
      <c r="H232" s="173" t="n">
        <v>2</v>
      </c>
      <c r="I232" s="148" t="n">
        <v>1</v>
      </c>
      <c r="J232" s="148" t="n">
        <v>1</v>
      </c>
      <c r="K232" s="149" t="n">
        <v>436.1</v>
      </c>
      <c r="L232" s="149" t="n">
        <f aca="false">M232+N232</f>
        <v>436.1</v>
      </c>
      <c r="M232" s="149" t="n">
        <v>436.1</v>
      </c>
      <c r="N232" s="198"/>
      <c r="O232" s="151" t="n">
        <v>1</v>
      </c>
      <c r="P232" s="149" t="n">
        <v>13232.99</v>
      </c>
      <c r="Q232" s="149" t="n">
        <f aca="false">R232+S232</f>
        <v>13232.99</v>
      </c>
      <c r="R232" s="149" t="n">
        <v>13232.99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248</v>
      </c>
      <c r="G233" s="152" t="s">
        <v>23</v>
      </c>
      <c r="H233" s="171" t="n">
        <v>2</v>
      </c>
      <c r="I233" s="154"/>
      <c r="J233" s="154"/>
      <c r="K233" s="155"/>
      <c r="L233" s="155" t="n">
        <f aca="false">M233+N233</f>
        <v>0</v>
      </c>
      <c r="M233" s="155"/>
      <c r="N233" s="156"/>
      <c r="O233" s="157" t="n">
        <v>1</v>
      </c>
      <c r="P233" s="155" t="n">
        <v>572.65</v>
      </c>
      <c r="Q233" s="155" t="n">
        <v>572.65</v>
      </c>
      <c r="R233" s="155" t="n">
        <v>572.65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99"/>
      <c r="B234" s="100" t="s">
        <v>149</v>
      </c>
      <c r="C234" s="100"/>
      <c r="D234" s="100"/>
      <c r="E234" s="100"/>
      <c r="F234" s="100"/>
      <c r="G234" s="212"/>
      <c r="H234" s="213" t="n">
        <f aca="false">SUM(H9:H233)</f>
        <v>1354</v>
      </c>
      <c r="I234" s="214" t="n">
        <f aca="false">SUM(I9:I233)</f>
        <v>625</v>
      </c>
      <c r="J234" s="214" t="n">
        <f aca="false">SUM(J9:J233)</f>
        <v>693</v>
      </c>
      <c r="K234" s="215" t="n">
        <f aca="false">SUM(K9:K233)</f>
        <v>947732.34</v>
      </c>
      <c r="L234" s="215" t="n">
        <f aca="false">SUM(L9:L233)</f>
        <v>715744.17</v>
      </c>
      <c r="M234" s="215" t="n">
        <f aca="false">SUM(M9:M233)</f>
        <v>402722.33</v>
      </c>
      <c r="N234" s="243" t="n">
        <f aca="false">SUM(N9:N233)</f>
        <v>313021.84</v>
      </c>
      <c r="O234" s="244" t="n">
        <f aca="false">SUM(O9:O233)</f>
        <v>826</v>
      </c>
      <c r="P234" s="245" t="n">
        <f aca="false">SUM(P9:P233)</f>
        <v>2361003.56</v>
      </c>
      <c r="Q234" s="245" t="n">
        <f aca="false">SUM(Q9:Q233)</f>
        <v>1933524.8</v>
      </c>
      <c r="R234" s="245" t="n">
        <f aca="false">SUM(R9:R233)</f>
        <v>1381737.9</v>
      </c>
      <c r="S234" s="246" t="n">
        <f aca="false">SUM(S9:S233)</f>
        <v>551786.9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I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 t="s">
        <v>290</v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2"/>
      <c r="B238" s="2"/>
      <c r="C238" s="2"/>
      <c r="D238" s="2"/>
      <c r="E238" s="2"/>
      <c r="F238" s="103"/>
      <c r="G238" s="104" t="s">
        <v>5</v>
      </c>
      <c r="H238" s="104"/>
      <c r="I238" s="104"/>
      <c r="J238" s="104"/>
      <c r="K238" s="104"/>
      <c r="L238" s="104"/>
      <c r="M238" s="104"/>
      <c r="N238" s="104" t="s">
        <v>6</v>
      </c>
      <c r="O238" s="104"/>
      <c r="P238" s="104"/>
      <c r="Q238" s="104"/>
      <c r="R238" s="104"/>
      <c r="S238" s="105" t="s">
        <v>150</v>
      </c>
      <c r="T238" s="105" t="s">
        <v>253</v>
      </c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103"/>
      <c r="G239" s="106" t="s">
        <v>13</v>
      </c>
      <c r="H239" s="106" t="s">
        <v>14</v>
      </c>
      <c r="I239" s="106" t="s">
        <v>15</v>
      </c>
      <c r="J239" s="106" t="s">
        <v>226</v>
      </c>
      <c r="K239" s="106" t="s">
        <v>16</v>
      </c>
      <c r="L239" s="106" t="s">
        <v>17</v>
      </c>
      <c r="M239" s="106" t="s">
        <v>18</v>
      </c>
      <c r="N239" s="106" t="s">
        <v>15</v>
      </c>
      <c r="O239" s="106" t="s">
        <v>226</v>
      </c>
      <c r="P239" s="106" t="s">
        <v>16</v>
      </c>
      <c r="Q239" s="106" t="s">
        <v>17</v>
      </c>
      <c r="R239" s="106" t="s">
        <v>18</v>
      </c>
      <c r="S239" s="105"/>
      <c r="T239" s="105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107" t="s">
        <v>22</v>
      </c>
      <c r="G240" s="108" t="n">
        <f aca="false">SUMIF($G$9:$G$233,$F$240,H9:H233)</f>
        <v>855</v>
      </c>
      <c r="H240" s="108" t="n">
        <f aca="false">SUMIF($G$9:$G$233,$F$240,I9:I233)</f>
        <v>470</v>
      </c>
      <c r="I240" s="108" t="n">
        <f aca="false">SUMIF($G$9:$G$233,$F$240,J9:J233)</f>
        <v>533</v>
      </c>
      <c r="J240" s="110" t="n">
        <f aca="false">SUMIF($G$9:$G$233,F240,$K$9:$K$233)</f>
        <v>698734.28</v>
      </c>
      <c r="K240" s="110" t="n">
        <f aca="false">SUMIF($G$9:$G$233,$F$240,L9:L233)</f>
        <v>612550.98</v>
      </c>
      <c r="L240" s="110" t="n">
        <f aca="false">SUMIF($G$9:$G$233,$F$240,M9:M233)</f>
        <v>355512.88</v>
      </c>
      <c r="M240" s="110" t="n">
        <f aca="false">SUMIF($G$9:$G$233,$F$240,N9:N233)</f>
        <v>257038.1</v>
      </c>
      <c r="N240" s="108" t="n">
        <f aca="false">SUMIF($G$9:$G$233,$F$240,O9:O233)</f>
        <v>549</v>
      </c>
      <c r="O240" s="110" t="n">
        <f aca="false">SUMIF($G$9:$G$233,F240,$P$9:$P$233)</f>
        <v>1707862.39</v>
      </c>
      <c r="P240" s="110" t="n">
        <f aca="false">SUMIF($G$9:$G$233,$F$240,Q9:Q233)</f>
        <v>1455906.46</v>
      </c>
      <c r="Q240" s="110" t="n">
        <f aca="false">SUMIF($G$9:$G$233,$F$240,R9:R233)</f>
        <v>1115586.41</v>
      </c>
      <c r="R240" s="110" t="n">
        <f aca="false">SUMIF($G$9:$G$233,$F$240,S9:S233)</f>
        <v>340320.05</v>
      </c>
      <c r="S240" s="110" t="n">
        <f aca="false">Q240+L240</f>
        <v>1471099.29</v>
      </c>
      <c r="T240" s="111" t="n">
        <f aca="false">J240-L240+O240-Q240</f>
        <v>935497.38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107" t="s">
        <v>26</v>
      </c>
      <c r="G241" s="108" t="n">
        <f aca="false">SUMIF($G$9:$G$233,$F$241,H9:H233)</f>
        <v>304</v>
      </c>
      <c r="H241" s="108" t="n">
        <v>20</v>
      </c>
      <c r="I241" s="108" t="n">
        <f aca="false">SUMIF($G$9:$G$233,$F$241,J9:J233)</f>
        <v>88</v>
      </c>
      <c r="J241" s="110" t="n">
        <f aca="false">SUMIF($G$9:$G$233,F241,$K$9:$K$233)</f>
        <v>163568.22</v>
      </c>
      <c r="K241" s="110" t="n">
        <f aca="false">SUMIF($G$9:$G$233,$F$241,L9:L233)</f>
        <v>68198.95</v>
      </c>
      <c r="L241" s="110" t="n">
        <f aca="false">SUMIF($G$9:$G$233,$F$241,M9:M233)</f>
        <v>12215.21</v>
      </c>
      <c r="M241" s="110" t="n">
        <f aca="false">SUMIF($G$9:$G$233,$F$241,N9:N233)</f>
        <v>55983.74</v>
      </c>
      <c r="N241" s="108" t="n">
        <f aca="false">SUMIF($G$9:$G$233,$F$241,O9:O233)</f>
        <v>189</v>
      </c>
      <c r="O241" s="110" t="n">
        <f aca="false">SUMIF($G$9:$G$233,F241,$P$9:$P$233)</f>
        <v>450001.6</v>
      </c>
      <c r="P241" s="110" t="n">
        <f aca="false">SUMIF($G$9:$G$233,$F$241,Q9:Q233)</f>
        <v>357751.64</v>
      </c>
      <c r="Q241" s="110" t="n">
        <f aca="false">SUMIF($G$9:$G$233,$F$241,R9:R233)</f>
        <v>146284.79</v>
      </c>
      <c r="R241" s="110" t="n">
        <f aca="false">SUMIF($G$9:$G$233,$F$241,S9:S233)</f>
        <v>211466.85</v>
      </c>
      <c r="S241" s="110" t="n">
        <f aca="false">Q241+L241</f>
        <v>158500</v>
      </c>
      <c r="T241" s="111" t="n">
        <f aca="false">J241-L241+O241-Q241</f>
        <v>455069.82</v>
      </c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107" t="s">
        <v>23</v>
      </c>
      <c r="G242" s="108" t="n">
        <f aca="false">SUMIF($G$9:$G$233,$F$242,H9:H233)</f>
        <v>195</v>
      </c>
      <c r="H242" s="108" t="n">
        <f aca="false">SUMIF($G$9:$G$233,$F$242,I9:I233)</f>
        <v>72</v>
      </c>
      <c r="I242" s="108" t="n">
        <f aca="false">SUMIF($G$9:$G$233,$F$242,J9:J233)</f>
        <v>72</v>
      </c>
      <c r="J242" s="110" t="n">
        <f aca="false">SUMIF($G$9:$G$233,F242,$K$9:$K$233)</f>
        <v>85429.84</v>
      </c>
      <c r="K242" s="110" t="n">
        <f aca="false">SUMIF($G$9:$G$233,$F$242,L9:L233)</f>
        <v>34994.24</v>
      </c>
      <c r="L242" s="110" t="n">
        <f aca="false">SUMIF($G$9:$G$233,$F$242,M9:M233)</f>
        <v>34994.24</v>
      </c>
      <c r="M242" s="110" t="n">
        <f aca="false">SUMIF($G$9:$G$233,$F$242,N9:N233)</f>
        <v>0</v>
      </c>
      <c r="N242" s="108" t="n">
        <f aca="false">SUMIF($G$9:$G$233,$F$242,O9:O233)</f>
        <v>88</v>
      </c>
      <c r="O242" s="110" t="n">
        <f aca="false">SUMIF($G$9:$G$233,F242,$P$9:$P$233)</f>
        <v>203139.57</v>
      </c>
      <c r="P242" s="110" t="n">
        <f aca="false">SUMIF($G$9:$G$233,$F$242,Q9:Q233)</f>
        <v>119866.7</v>
      </c>
      <c r="Q242" s="110" t="n">
        <f aca="false">SUMIF($G$9:$G$233,$F$242,R9:R233)</f>
        <v>119866.7</v>
      </c>
      <c r="R242" s="110" t="n">
        <f aca="false">SUMIF($G$9:$G$233,$F$242,S9:S233)</f>
        <v>0</v>
      </c>
      <c r="S242" s="110" t="n">
        <f aca="false">Q242+L242</f>
        <v>154860.94</v>
      </c>
      <c r="T242" s="111" t="n">
        <f aca="false">J242-L242+O242-Q242</f>
        <v>133708.47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16" t="n">
        <f aca="false">G242+G241+G240</f>
        <v>1354</v>
      </c>
      <c r="H243" s="216" t="n">
        <f aca="false">H242+H241+H240</f>
        <v>562</v>
      </c>
      <c r="I243" s="216" t="n">
        <f aca="false">I242+I241+I240</f>
        <v>693</v>
      </c>
      <c r="J243" s="217" t="n">
        <f aca="false">J242+J241+J240</f>
        <v>947732.34</v>
      </c>
      <c r="K243" s="217" t="n">
        <f aca="false">K242+K241+K240</f>
        <v>715744.17</v>
      </c>
      <c r="L243" s="217" t="n">
        <f aca="false">L242+L241+L240</f>
        <v>402722.33</v>
      </c>
      <c r="M243" s="217" t="n">
        <f aca="false">M242+M241+M240</f>
        <v>313021.84</v>
      </c>
      <c r="N243" s="216" t="n">
        <f aca="false">N242+N241+N240</f>
        <v>826</v>
      </c>
      <c r="O243" s="217" t="n">
        <f aca="false">O242+O241+O240</f>
        <v>2361003.56</v>
      </c>
      <c r="P243" s="217" t="n">
        <f aca="false">P242+P241+P240</f>
        <v>1933524.8</v>
      </c>
      <c r="Q243" s="217" t="n">
        <f aca="false">Q242+Q241+Q240</f>
        <v>1381737.9</v>
      </c>
      <c r="R243" s="217" t="n">
        <f aca="false">R242+R241+R240</f>
        <v>551786.9</v>
      </c>
      <c r="S243" s="217" t="n">
        <f aca="false">S242+S241+S240</f>
        <v>1784460.23</v>
      </c>
      <c r="T243" s="217" t="n">
        <f aca="false">T242+T241+T240</f>
        <v>1524275.67</v>
      </c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K277" s="236"/>
    </row>
    <row r="278" customFormat="false" ht="15" hidden="false" customHeight="false" outlineLevel="0" collapsed="false">
      <c r="K278" s="236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F304" s="0" t="s">
        <v>22</v>
      </c>
      <c r="G304" s="0" t="n">
        <v>855</v>
      </c>
      <c r="H304" s="247" t="n">
        <v>470</v>
      </c>
      <c r="I304" s="247" t="n">
        <v>533</v>
      </c>
      <c r="J304" s="0" t="n">
        <v>698634.28</v>
      </c>
      <c r="K304" s="236" t="n">
        <v>578741.37</v>
      </c>
      <c r="L304" s="0" t="n">
        <v>208301.67</v>
      </c>
      <c r="M304" s="0" t="n">
        <v>370439.7</v>
      </c>
      <c r="N304" s="0" t="n">
        <v>549</v>
      </c>
      <c r="O304" s="0" t="n">
        <v>1707859.19</v>
      </c>
      <c r="P304" s="0" t="n">
        <v>1387209.08</v>
      </c>
      <c r="Q304" s="0" t="n">
        <v>868523.33</v>
      </c>
      <c r="R304" s="0" t="n">
        <v>518685.75</v>
      </c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</sheetData>
  <mergeCells count="55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9"/>
    <mergeCell ref="B97:B99"/>
    <mergeCell ref="C97:C99"/>
    <mergeCell ref="D97:D99"/>
    <mergeCell ref="E97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20"/>
    <mergeCell ref="B118:B120"/>
    <mergeCell ref="C118:C120"/>
    <mergeCell ref="D118:D120"/>
    <mergeCell ref="E118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1"/>
    <mergeCell ref="B129:B131"/>
    <mergeCell ref="C129:C131"/>
    <mergeCell ref="D129:D131"/>
    <mergeCell ref="E129:E131"/>
    <mergeCell ref="A132:A133"/>
    <mergeCell ref="B132:B133"/>
    <mergeCell ref="C132:C133"/>
    <mergeCell ref="D132:D133"/>
    <mergeCell ref="E132:E133"/>
    <mergeCell ref="A134:A136"/>
    <mergeCell ref="B134:B136"/>
    <mergeCell ref="C134:C136"/>
    <mergeCell ref="D134:D136"/>
    <mergeCell ref="E134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9"/>
    <mergeCell ref="B167:B169"/>
    <mergeCell ref="C167:C169"/>
    <mergeCell ref="D167:D169"/>
    <mergeCell ref="E167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B176:B177"/>
    <mergeCell ref="D176:D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F238:F239"/>
    <mergeCell ref="G238:M238"/>
    <mergeCell ref="N238:R238"/>
    <mergeCell ref="S238:S239"/>
    <mergeCell ref="T238:T239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7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4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7</v>
      </c>
      <c r="P9" s="149" t="n">
        <v>24236.65</v>
      </c>
      <c r="Q9" s="149" t="n">
        <f aca="false">R9+S9</f>
        <v>24236.65</v>
      </c>
      <c r="R9" s="149" t="n">
        <v>24236.65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16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28456.91</v>
      </c>
      <c r="N11" s="239"/>
      <c r="O11" s="151" t="n">
        <v>7</v>
      </c>
      <c r="P11" s="149" t="n">
        <v>30607.11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22</v>
      </c>
      <c r="I13" s="148" t="n">
        <v>16</v>
      </c>
      <c r="J13" s="148" t="n">
        <v>22</v>
      </c>
      <c r="K13" s="149" t="n">
        <v>23989.03</v>
      </c>
      <c r="L13" s="149" t="n">
        <f aca="false">M13+N13</f>
        <v>22535.38</v>
      </c>
      <c r="M13" s="149" t="n">
        <v>22535.38</v>
      </c>
      <c r="N13" s="190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3</v>
      </c>
      <c r="J14" s="154" t="n">
        <v>3</v>
      </c>
      <c r="K14" s="155" t="n">
        <v>5462.2</v>
      </c>
      <c r="L14" s="155" t="n">
        <f aca="false">M14+N14</f>
        <v>1938.2</v>
      </c>
      <c r="M14" s="155" t="n">
        <f aca="false">1938.2</f>
        <v>1938.2</v>
      </c>
      <c r="N14" s="156"/>
      <c r="O14" s="209" t="n">
        <v>6</v>
      </c>
      <c r="P14" s="155" t="n">
        <v>11273.8</v>
      </c>
      <c r="Q14" s="155" t="n">
        <f aca="false">R14+S14</f>
        <v>10916.3</v>
      </c>
      <c r="R14" s="155" t="n">
        <f aca="false">1585.8+2106.3+5109.8+2114.4</f>
        <v>10916.3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4</v>
      </c>
      <c r="I16" s="165" t="n">
        <v>1</v>
      </c>
      <c r="J16" s="165" t="n">
        <v>1</v>
      </c>
      <c r="K16" s="166" t="n">
        <v>2643</v>
      </c>
      <c r="L16" s="166" t="n">
        <f aca="false">M16+N16</f>
        <v>2643</v>
      </c>
      <c r="M16" s="166"/>
      <c r="N16" s="156" t="n">
        <f aca="false">2643</f>
        <v>2643</v>
      </c>
      <c r="O16" s="168" t="n">
        <v>4</v>
      </c>
      <c r="P16" s="166" t="n">
        <v>19515.9</v>
      </c>
      <c r="Q16" s="166" t="n">
        <f aca="false">R16+S16</f>
        <v>12510.2</v>
      </c>
      <c r="R16" s="166" t="n">
        <f aca="false">10924.4</f>
        <v>10924.4</v>
      </c>
      <c r="S16" s="167" t="n">
        <f aca="false">1585.8</f>
        <v>1585.8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/>
      <c r="J17" s="148"/>
      <c r="K17" s="149"/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5</v>
      </c>
      <c r="I18" s="154" t="n">
        <v>2</v>
      </c>
      <c r="J18" s="154" t="n">
        <v>2</v>
      </c>
      <c r="K18" s="155" t="n">
        <v>1389.4</v>
      </c>
      <c r="L18" s="155" t="n">
        <f aca="false">M18+N18</f>
        <v>704.8</v>
      </c>
      <c r="M18" s="155" t="n">
        <f aca="false">704.8</f>
        <v>704.8</v>
      </c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14</v>
      </c>
      <c r="I19" s="160" t="n">
        <v>6</v>
      </c>
      <c r="J19" s="160" t="n">
        <v>6</v>
      </c>
      <c r="K19" s="161" t="n">
        <v>6637.5</v>
      </c>
      <c r="L19" s="161" t="n">
        <f aca="false">M19+N19</f>
        <v>4012.08</v>
      </c>
      <c r="M19" s="161" t="n">
        <v>4012.08</v>
      </c>
      <c r="N19" s="190"/>
      <c r="O19" s="163" t="n">
        <v>16</v>
      </c>
      <c r="P19" s="161" t="n">
        <v>34111.34</v>
      </c>
      <c r="Q19" s="161" t="n">
        <f aca="false">R19+S19</f>
        <v>17766.28</v>
      </c>
      <c r="R19" s="161" t="n">
        <v>17766.28</v>
      </c>
      <c r="S19" s="190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3</v>
      </c>
      <c r="I20" s="154"/>
      <c r="J20" s="154"/>
      <c r="K20" s="155"/>
      <c r="L20" s="155" t="n">
        <f aca="false">M20+N20</f>
        <v>0</v>
      </c>
      <c r="M20" s="155"/>
      <c r="N20" s="156"/>
      <c r="O20" s="157" t="n">
        <v>2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20</v>
      </c>
      <c r="I21" s="160" t="n">
        <v>13</v>
      </c>
      <c r="J21" s="160" t="n">
        <v>19</v>
      </c>
      <c r="K21" s="161" t="n">
        <v>22813.49</v>
      </c>
      <c r="L21" s="161" t="n">
        <f aca="false">M21+N21</f>
        <v>24311.18</v>
      </c>
      <c r="M21" s="161" t="n">
        <v>15483.57</v>
      </c>
      <c r="N21" s="190" t="n">
        <v>8827.61</v>
      </c>
      <c r="O21" s="151" t="n">
        <v>18</v>
      </c>
      <c r="P21" s="149" t="n">
        <v>34926.57</v>
      </c>
      <c r="Q21" s="149" t="n">
        <f aca="false">R21+S21</f>
        <v>27767.21</v>
      </c>
      <c r="R21" s="149" t="n">
        <v>21911.73</v>
      </c>
      <c r="S21" s="198" t="n">
        <v>5855.48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2</v>
      </c>
      <c r="P22" s="155" t="n">
        <v>1233.4</v>
      </c>
      <c r="Q22" s="155" t="n">
        <v>704.8</v>
      </c>
      <c r="R22" s="155" t="n">
        <v>704.8</v>
      </c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15</v>
      </c>
      <c r="I23" s="148" t="n">
        <v>8</v>
      </c>
      <c r="J23" s="148" t="n">
        <v>8</v>
      </c>
      <c r="K23" s="148" t="n">
        <v>2378.7</v>
      </c>
      <c r="L23" s="149" t="n">
        <f aca="false">M23+N23</f>
        <v>2378.7</v>
      </c>
      <c r="M23" s="149" t="n">
        <v>2378.7</v>
      </c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 t="n">
        <v>2</v>
      </c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18</v>
      </c>
      <c r="I25" s="160" t="n">
        <v>15</v>
      </c>
      <c r="J25" s="160" t="n">
        <v>20</v>
      </c>
      <c r="K25" s="161" t="n">
        <v>26169.32</v>
      </c>
      <c r="L25" s="161" t="n">
        <f aca="false">M25+N25</f>
        <v>21522.43</v>
      </c>
      <c r="M25" s="161" t="n">
        <v>21522.43</v>
      </c>
      <c r="N25" s="190"/>
      <c r="O25" s="151" t="n">
        <v>7</v>
      </c>
      <c r="P25" s="149" t="n">
        <v>12143.43</v>
      </c>
      <c r="Q25" s="149" t="n">
        <f aca="false">R25+S25</f>
        <v>10769.07</v>
      </c>
      <c r="R25" s="149" t="n">
        <v>10769.07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4</v>
      </c>
      <c r="I26" s="165" t="n">
        <v>2</v>
      </c>
      <c r="J26" s="165" t="n">
        <v>2</v>
      </c>
      <c r="K26" s="166" t="n">
        <v>1409.6</v>
      </c>
      <c r="L26" s="166" t="n">
        <f aca="false">M26+N26</f>
        <v>1409.6</v>
      </c>
      <c r="M26" s="166"/>
      <c r="N26" s="156" t="n">
        <v>1409.6</v>
      </c>
      <c r="O26" s="157" t="n">
        <v>9</v>
      </c>
      <c r="P26" s="155" t="n">
        <v>19558.2</v>
      </c>
      <c r="Q26" s="155" t="n">
        <f aca="false">R26+S26</f>
        <v>17267.6</v>
      </c>
      <c r="R26" s="155" t="n">
        <f aca="false">2995.4+14272.2</f>
        <v>17267.6</v>
      </c>
      <c r="S26" s="156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 t="n">
        <f aca="false">4052.6</f>
        <v>4052.6</v>
      </c>
      <c r="N28" s="167"/>
      <c r="O28" s="168" t="n">
        <v>6</v>
      </c>
      <c r="P28" s="166" t="n">
        <v>19381.4</v>
      </c>
      <c r="Q28" s="166" t="n">
        <f aca="false">R28+S28</f>
        <v>17267.7</v>
      </c>
      <c r="R28" s="166" t="n">
        <f aca="false">5286+2290.6-23.95+9715.05</f>
        <v>17267.7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291</v>
      </c>
      <c r="C29" s="19"/>
      <c r="D29" s="19"/>
      <c r="E29" s="19"/>
      <c r="F29" s="20"/>
      <c r="G29" s="146" t="s">
        <v>22</v>
      </c>
      <c r="H29" s="147"/>
      <c r="I29" s="148"/>
      <c r="J29" s="148"/>
      <c r="K29" s="149"/>
      <c r="L29" s="149" t="n">
        <f aca="false">M29+N29</f>
        <v>0</v>
      </c>
      <c r="M29" s="149"/>
      <c r="N29" s="150"/>
      <c r="O29" s="206" t="n">
        <v>1</v>
      </c>
      <c r="P29" s="149" t="n">
        <v>36290.52</v>
      </c>
      <c r="Q29" s="149" t="n">
        <v>36290.52</v>
      </c>
      <c r="R29" s="149"/>
      <c r="S29" s="150" t="n">
        <v>36290.52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57"/>
      <c r="G30" s="152" t="s">
        <v>26</v>
      </c>
      <c r="H30" s="176"/>
      <c r="I30" s="154"/>
      <c r="J30" s="154"/>
      <c r="K30" s="155"/>
      <c r="L30" s="155" t="n">
        <f aca="false">M30+N30</f>
        <v>0</v>
      </c>
      <c r="M30" s="155"/>
      <c r="N30" s="156"/>
      <c r="O30" s="209"/>
      <c r="P30" s="155"/>
      <c r="Q30" s="155" t="n">
        <v>0</v>
      </c>
      <c r="R30" s="155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54"/>
      <c r="B31" s="55" t="s">
        <v>153</v>
      </c>
      <c r="C31" s="56" t="s">
        <v>20</v>
      </c>
      <c r="D31" s="56"/>
      <c r="E31" s="56" t="s">
        <v>278</v>
      </c>
      <c r="F31" s="36"/>
      <c r="G31" s="158" t="s">
        <v>22</v>
      </c>
      <c r="H31" s="169" t="n">
        <v>7</v>
      </c>
      <c r="I31" s="160"/>
      <c r="J31" s="160"/>
      <c r="K31" s="161"/>
      <c r="L31" s="161" t="n">
        <f aca="false">M31+N31</f>
        <v>0</v>
      </c>
      <c r="M31" s="161"/>
      <c r="N31" s="190"/>
      <c r="O31" s="163"/>
      <c r="P31" s="161"/>
      <c r="Q31" s="161" t="n">
        <f aca="false">R31+S31</f>
        <v>0</v>
      </c>
      <c r="R31" s="161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54"/>
      <c r="B32" s="55"/>
      <c r="C32" s="55"/>
      <c r="D32" s="55"/>
      <c r="E32" s="55"/>
      <c r="F32" s="42" t="s">
        <v>231</v>
      </c>
      <c r="G32" s="164" t="s">
        <v>23</v>
      </c>
      <c r="H32" s="178" t="n">
        <v>11</v>
      </c>
      <c r="I32" s="165"/>
      <c r="J32" s="165"/>
      <c r="K32" s="166"/>
      <c r="L32" s="166" t="n">
        <f aca="false">M32+N32</f>
        <v>0</v>
      </c>
      <c r="M32" s="166"/>
      <c r="N32" s="156"/>
      <c r="O32" s="168"/>
      <c r="P32" s="166"/>
      <c r="Q32" s="166" t="n">
        <f aca="false">R32+S32</f>
        <v>0</v>
      </c>
      <c r="R32" s="166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17"/>
      <c r="B33" s="18" t="s">
        <v>232</v>
      </c>
      <c r="C33" s="19"/>
      <c r="D33" s="19"/>
      <c r="E33" s="19"/>
      <c r="F33" s="20"/>
      <c r="G33" s="146" t="s">
        <v>22</v>
      </c>
      <c r="H33" s="147" t="n">
        <v>3</v>
      </c>
      <c r="I33" s="148"/>
      <c r="J33" s="148"/>
      <c r="K33" s="149"/>
      <c r="L33" s="149" t="n">
        <f aca="false">M33+N33</f>
        <v>0</v>
      </c>
      <c r="M33" s="149"/>
      <c r="N33" s="190"/>
      <c r="O33" s="206"/>
      <c r="P33" s="149"/>
      <c r="Q33" s="149" t="n">
        <f aca="false">R33+S33</f>
        <v>0</v>
      </c>
      <c r="R33" s="149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17"/>
      <c r="B34" s="18"/>
      <c r="C34" s="18"/>
      <c r="D34" s="18"/>
      <c r="E34" s="18"/>
      <c r="F34" s="26" t="s">
        <v>265</v>
      </c>
      <c r="G34" s="152" t="s">
        <v>26</v>
      </c>
      <c r="H34" s="176" t="n">
        <v>5</v>
      </c>
      <c r="I34" s="154" t="n">
        <v>1</v>
      </c>
      <c r="J34" s="154" t="n">
        <v>1</v>
      </c>
      <c r="K34" s="155" t="n">
        <v>704.8</v>
      </c>
      <c r="L34" s="155" t="n">
        <f aca="false">M34+N34</f>
        <v>704.8</v>
      </c>
      <c r="M34" s="155" t="n">
        <f aca="false">704.8</f>
        <v>704.8</v>
      </c>
      <c r="N34" s="156"/>
      <c r="O34" s="209"/>
      <c r="P34" s="155"/>
      <c r="Q34" s="155" t="n">
        <f aca="false">R34+S34</f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54"/>
      <c r="B35" s="55" t="s">
        <v>40</v>
      </c>
      <c r="C35" s="56" t="s">
        <v>38</v>
      </c>
      <c r="D35" s="56" t="s">
        <v>41</v>
      </c>
      <c r="E35" s="56" t="s">
        <v>42</v>
      </c>
      <c r="F35" s="36"/>
      <c r="G35" s="158" t="s">
        <v>22</v>
      </c>
      <c r="H35" s="169"/>
      <c r="I35" s="160"/>
      <c r="J35" s="160"/>
      <c r="K35" s="161"/>
      <c r="L35" s="161" t="n">
        <f aca="false">M35+N35</f>
        <v>0</v>
      </c>
      <c r="M35" s="161"/>
      <c r="N35" s="190"/>
      <c r="O35" s="163"/>
      <c r="P35" s="161"/>
      <c r="Q35" s="161" t="n">
        <f aca="false">R35+S35</f>
        <v>0</v>
      </c>
      <c r="R35" s="161"/>
      <c r="S35" s="19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54"/>
      <c r="B36" s="55"/>
      <c r="C36" s="55"/>
      <c r="D36" s="55"/>
      <c r="E36" s="55"/>
      <c r="F36" s="57"/>
      <c r="G36" s="152" t="s">
        <v>23</v>
      </c>
      <c r="H36" s="153"/>
      <c r="I36" s="154"/>
      <c r="J36" s="154"/>
      <c r="K36" s="155"/>
      <c r="L36" s="155" t="n">
        <f aca="false">M36+N36</f>
        <v>0</v>
      </c>
      <c r="M36" s="155"/>
      <c r="N36" s="156"/>
      <c r="O36" s="157"/>
      <c r="P36" s="155"/>
      <c r="Q36" s="155" t="n">
        <f aca="false">R36+S36</f>
        <v>0</v>
      </c>
      <c r="R36" s="155"/>
      <c r="S36" s="167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.75" hidden="false" customHeight="true" outlineLevel="0" collapsed="false">
      <c r="A37" s="54"/>
      <c r="B37" s="55" t="s">
        <v>43</v>
      </c>
      <c r="C37" s="56" t="s">
        <v>33</v>
      </c>
      <c r="D37" s="56" t="s">
        <v>44</v>
      </c>
      <c r="E37" s="56" t="s">
        <v>45</v>
      </c>
      <c r="F37" s="36"/>
      <c r="G37" s="146" t="s">
        <v>22</v>
      </c>
      <c r="H37" s="159" t="n">
        <v>9</v>
      </c>
      <c r="I37" s="160" t="n">
        <v>6</v>
      </c>
      <c r="J37" s="160" t="n">
        <v>6</v>
      </c>
      <c r="K37" s="161" t="n">
        <v>9138.09</v>
      </c>
      <c r="L37" s="161" t="n">
        <f aca="false">M37+N37</f>
        <v>9138.09</v>
      </c>
      <c r="M37" s="161" t="n">
        <v>9138.09</v>
      </c>
      <c r="N37" s="190"/>
      <c r="O37" s="151" t="n">
        <v>10</v>
      </c>
      <c r="P37" s="149" t="n">
        <v>39637.95</v>
      </c>
      <c r="Q37" s="149" t="n">
        <f aca="false">R37+S37</f>
        <v>39637.95</v>
      </c>
      <c r="R37" s="149" t="n">
        <v>39637.95</v>
      </c>
      <c r="S37" s="198"/>
      <c r="T37" s="2"/>
      <c r="U37" s="70"/>
      <c r="V37" s="70"/>
      <c r="W37" s="70"/>
      <c r="X37" s="70"/>
      <c r="Y37" s="70"/>
      <c r="Z37" s="70"/>
      <c r="AA37" s="70"/>
      <c r="AB37" s="70"/>
      <c r="AC37" s="70"/>
    </row>
    <row r="38" customFormat="false" ht="15.75" hidden="false" customHeight="true" outlineLevel="0" collapsed="false">
      <c r="A38" s="54"/>
      <c r="B38" s="55"/>
      <c r="C38" s="55"/>
      <c r="D38" s="55"/>
      <c r="E38" s="55"/>
      <c r="F38" s="26" t="s">
        <v>165</v>
      </c>
      <c r="G38" s="152" t="s">
        <v>26</v>
      </c>
      <c r="H38" s="153" t="n">
        <v>3</v>
      </c>
      <c r="I38" s="154" t="n">
        <v>2</v>
      </c>
      <c r="J38" s="154" t="n">
        <v>2</v>
      </c>
      <c r="K38" s="155" t="n">
        <v>4933.6</v>
      </c>
      <c r="L38" s="155" t="n">
        <f aca="false">M38+N38</f>
        <v>3700.2</v>
      </c>
      <c r="M38" s="155"/>
      <c r="N38" s="156" t="n">
        <f aca="false">3700.2</f>
        <v>3700.2</v>
      </c>
      <c r="O38" s="157" t="n">
        <v>5</v>
      </c>
      <c r="P38" s="155" t="n">
        <v>13567.4</v>
      </c>
      <c r="Q38" s="155" t="n">
        <f aca="false">R38+S38</f>
        <v>11453</v>
      </c>
      <c r="R38" s="155" t="n">
        <f aca="false">53.85+11399.15</f>
        <v>11453</v>
      </c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" hidden="false" customHeight="true" outlineLevel="0" collapsed="false">
      <c r="A39" s="33"/>
      <c r="B39" s="34" t="s">
        <v>46</v>
      </c>
      <c r="C39" s="35" t="s">
        <v>20</v>
      </c>
      <c r="D39" s="35"/>
      <c r="E39" s="35" t="s">
        <v>25</v>
      </c>
      <c r="F39" s="36"/>
      <c r="G39" s="146" t="s">
        <v>22</v>
      </c>
      <c r="H39" s="159" t="n">
        <v>10</v>
      </c>
      <c r="I39" s="160" t="n">
        <v>9</v>
      </c>
      <c r="J39" s="160" t="n">
        <v>11</v>
      </c>
      <c r="K39" s="161" t="n">
        <v>26775.53</v>
      </c>
      <c r="L39" s="161" t="n">
        <f aca="false">M39+N39</f>
        <v>19151.8</v>
      </c>
      <c r="M39" s="161" t="n">
        <v>17227.7</v>
      </c>
      <c r="N39" s="190" t="n">
        <v>1924.1</v>
      </c>
      <c r="O39" s="151" t="n">
        <v>14</v>
      </c>
      <c r="P39" s="149" t="n">
        <v>54101.49</v>
      </c>
      <c r="Q39" s="149" t="n">
        <f aca="false">R39+S39</f>
        <v>54101.49</v>
      </c>
      <c r="R39" s="149" t="n">
        <v>52304.25</v>
      </c>
      <c r="S39" s="198" t="n">
        <v>1797.24</v>
      </c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33"/>
      <c r="B40" s="34"/>
      <c r="C40" s="34"/>
      <c r="D40" s="34"/>
      <c r="E40" s="34"/>
      <c r="F40" s="71"/>
      <c r="G40" s="164" t="s">
        <v>26</v>
      </c>
      <c r="H40" s="153"/>
      <c r="I40" s="165"/>
      <c r="J40" s="165"/>
      <c r="K40" s="166"/>
      <c r="L40" s="166" t="n">
        <f aca="false">M40+N40</f>
        <v>0</v>
      </c>
      <c r="M40" s="166"/>
      <c r="N40" s="156"/>
      <c r="O40" s="157"/>
      <c r="P40" s="155"/>
      <c r="Q40" s="155" t="n">
        <f aca="false">R40+S40</f>
        <v>0</v>
      </c>
      <c r="R40" s="155"/>
      <c r="S40" s="156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72"/>
      <c r="B41" s="73" t="s">
        <v>47</v>
      </c>
      <c r="C41" s="74" t="s">
        <v>20</v>
      </c>
      <c r="D41" s="74" t="s">
        <v>166</v>
      </c>
      <c r="E41" s="75" t="s">
        <v>25</v>
      </c>
      <c r="F41" s="22"/>
      <c r="G41" s="146" t="s">
        <v>22</v>
      </c>
      <c r="H41" s="159" t="n">
        <v>7</v>
      </c>
      <c r="I41" s="148" t="n">
        <v>1</v>
      </c>
      <c r="J41" s="148" t="n">
        <v>1</v>
      </c>
      <c r="K41" s="149" t="n">
        <v>621.99</v>
      </c>
      <c r="L41" s="149" t="n">
        <f aca="false">M41+N41</f>
        <v>621.99</v>
      </c>
      <c r="M41" s="149" t="n">
        <v>621.99</v>
      </c>
      <c r="N41" s="190"/>
      <c r="O41" s="151"/>
      <c r="P41" s="149"/>
      <c r="Q41" s="149" t="n">
        <f aca="false">R41+S41</f>
        <v>0</v>
      </c>
      <c r="R41" s="149"/>
      <c r="S41" s="190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72"/>
      <c r="B42" s="73"/>
      <c r="C42" s="73"/>
      <c r="D42" s="73"/>
      <c r="E42" s="75"/>
      <c r="F42" s="42" t="s">
        <v>167</v>
      </c>
      <c r="G42" s="164" t="s">
        <v>26</v>
      </c>
      <c r="H42" s="172" t="n">
        <v>5</v>
      </c>
      <c r="I42" s="165"/>
      <c r="J42" s="165"/>
      <c r="K42" s="166"/>
      <c r="L42" s="166" t="n">
        <f aca="false">M42+N42</f>
        <v>0</v>
      </c>
      <c r="M42" s="166"/>
      <c r="N42" s="156"/>
      <c r="O42" s="168" t="n">
        <v>3</v>
      </c>
      <c r="P42" s="166" t="n">
        <v>13945.3</v>
      </c>
      <c r="Q42" s="166" t="n">
        <f aca="false">R42+S42</f>
        <v>10849.9</v>
      </c>
      <c r="R42" s="166" t="n">
        <f aca="false">10849.9</f>
        <v>10849.9</v>
      </c>
      <c r="S42" s="167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.75" hidden="false" customHeight="true" outlineLevel="0" collapsed="false">
      <c r="A43" s="17"/>
      <c r="B43" s="18" t="s">
        <v>48</v>
      </c>
      <c r="C43" s="19" t="s">
        <v>20</v>
      </c>
      <c r="D43" s="19" t="s">
        <v>168</v>
      </c>
      <c r="E43" s="19" t="s">
        <v>25</v>
      </c>
      <c r="F43" s="20"/>
      <c r="G43" s="146" t="s">
        <v>22</v>
      </c>
      <c r="H43" s="147" t="n">
        <v>2</v>
      </c>
      <c r="I43" s="148" t="n">
        <v>1</v>
      </c>
      <c r="J43" s="148" t="n">
        <v>1</v>
      </c>
      <c r="K43" s="149" t="n">
        <v>352.4</v>
      </c>
      <c r="L43" s="149" t="n">
        <f aca="false">M43+N43</f>
        <v>0</v>
      </c>
      <c r="M43" s="149"/>
      <c r="N43" s="190"/>
      <c r="O43" s="151" t="n">
        <v>4</v>
      </c>
      <c r="P43" s="149" t="n">
        <v>12699.01</v>
      </c>
      <c r="Q43" s="149" t="n">
        <f aca="false">R43+S43</f>
        <v>12699.01</v>
      </c>
      <c r="R43" s="149" t="n">
        <v>12699.01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 t="s">
        <v>169</v>
      </c>
      <c r="G44" s="152" t="s">
        <v>26</v>
      </c>
      <c r="H44" s="176" t="n">
        <v>3</v>
      </c>
      <c r="I44" s="154" t="n">
        <v>1</v>
      </c>
      <c r="J44" s="154" t="n">
        <v>1</v>
      </c>
      <c r="K44" s="155" t="n">
        <v>1233.4</v>
      </c>
      <c r="L44" s="155" t="n">
        <f aca="false">M44+N44</f>
        <v>0</v>
      </c>
      <c r="M44" s="155" t="n">
        <v>0</v>
      </c>
      <c r="N44" s="156"/>
      <c r="O44" s="157" t="n">
        <v>4</v>
      </c>
      <c r="P44" s="155" t="n">
        <v>11981.6</v>
      </c>
      <c r="Q44" s="155" t="n">
        <f aca="false">R44+S44</f>
        <v>13567.4</v>
      </c>
      <c r="R44" s="155" t="n">
        <f aca="false">528.6+11453</f>
        <v>11981.6</v>
      </c>
      <c r="S44" s="156" t="n">
        <v>1585.8</v>
      </c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54"/>
      <c r="B45" s="55" t="s">
        <v>49</v>
      </c>
      <c r="C45" s="56" t="s">
        <v>20</v>
      </c>
      <c r="D45" s="78"/>
      <c r="E45" s="56" t="s">
        <v>50</v>
      </c>
      <c r="F45" s="36"/>
      <c r="G45" s="146" t="s">
        <v>22</v>
      </c>
      <c r="H45" s="169"/>
      <c r="I45" s="160"/>
      <c r="J45" s="160"/>
      <c r="K45" s="161"/>
      <c r="L45" s="161" t="n">
        <f aca="false">M45+N45</f>
        <v>0</v>
      </c>
      <c r="M45" s="161"/>
      <c r="N45" s="190"/>
      <c r="O45" s="163"/>
      <c r="P45" s="161"/>
      <c r="Q45" s="161" t="n">
        <f aca="false">R45+S45</f>
        <v>0</v>
      </c>
      <c r="R45" s="161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54"/>
      <c r="B46" s="55"/>
      <c r="C46" s="55"/>
      <c r="D46" s="55"/>
      <c r="E46" s="55"/>
      <c r="F46" s="57"/>
      <c r="G46" s="152" t="s">
        <v>26</v>
      </c>
      <c r="H46" s="153"/>
      <c r="I46" s="154"/>
      <c r="J46" s="154"/>
      <c r="K46" s="155"/>
      <c r="L46" s="155" t="n">
        <f aca="false">M46+N46</f>
        <v>0</v>
      </c>
      <c r="M46" s="155"/>
      <c r="N46" s="156"/>
      <c r="O46" s="157"/>
      <c r="P46" s="155"/>
      <c r="Q46" s="155" t="n">
        <f aca="false">R46+S46</f>
        <v>0</v>
      </c>
      <c r="R46" s="155"/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33"/>
      <c r="B47" s="34" t="s">
        <v>51</v>
      </c>
      <c r="C47" s="35" t="s">
        <v>20</v>
      </c>
      <c r="D47" s="35"/>
      <c r="E47" s="35" t="s">
        <v>52</v>
      </c>
      <c r="F47" s="36"/>
      <c r="G47" s="146" t="s">
        <v>22</v>
      </c>
      <c r="H47" s="169" t="n">
        <v>5</v>
      </c>
      <c r="I47" s="160" t="n">
        <v>1</v>
      </c>
      <c r="J47" s="160" t="n">
        <v>1</v>
      </c>
      <c r="K47" s="161" t="n">
        <v>1162.92</v>
      </c>
      <c r="L47" s="161" t="n">
        <f aca="false">M47+N47</f>
        <v>0</v>
      </c>
      <c r="M47" s="161"/>
      <c r="N47" s="190"/>
      <c r="O47" s="151" t="n">
        <v>1</v>
      </c>
      <c r="P47" s="149" t="n">
        <v>5039.32</v>
      </c>
      <c r="Q47" s="149" t="n">
        <f aca="false">R47+S47</f>
        <v>5039.32</v>
      </c>
      <c r="R47" s="149" t="n">
        <v>5039.32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33"/>
      <c r="B48" s="34"/>
      <c r="C48" s="34"/>
      <c r="D48" s="34"/>
      <c r="E48" s="34"/>
      <c r="F48" s="71"/>
      <c r="G48" s="164" t="s">
        <v>26</v>
      </c>
      <c r="H48" s="175"/>
      <c r="I48" s="165"/>
      <c r="J48" s="165"/>
      <c r="K48" s="166"/>
      <c r="L48" s="166" t="n">
        <f aca="false">M48+N48</f>
        <v>0</v>
      </c>
      <c r="M48" s="166"/>
      <c r="N48" s="156"/>
      <c r="O48" s="157"/>
      <c r="P48" s="155"/>
      <c r="Q48" s="155" t="n">
        <f aca="false">R48+S48</f>
        <v>0</v>
      </c>
      <c r="R48" s="155"/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17"/>
      <c r="B49" s="18" t="s">
        <v>154</v>
      </c>
      <c r="C49" s="19"/>
      <c r="D49" s="19" t="s">
        <v>170</v>
      </c>
      <c r="E49" s="19"/>
      <c r="F49" s="20"/>
      <c r="G49" s="146" t="s">
        <v>22</v>
      </c>
      <c r="H49" s="173" t="n">
        <v>43</v>
      </c>
      <c r="I49" s="148" t="n">
        <v>39</v>
      </c>
      <c r="J49" s="148" t="n">
        <v>39</v>
      </c>
      <c r="K49" s="149" t="n">
        <v>34720.47</v>
      </c>
      <c r="L49" s="149" t="n">
        <f aca="false">M49+N49</f>
        <v>34720.47</v>
      </c>
      <c r="M49" s="149" t="n">
        <v>34720.47</v>
      </c>
      <c r="N49" s="190"/>
      <c r="O49" s="151"/>
      <c r="P49" s="149"/>
      <c r="Q49" s="149" t="n">
        <f aca="false">R49+S49</f>
        <v>0</v>
      </c>
      <c r="R49" s="149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" hidden="false" customHeight="false" outlineLevel="0" collapsed="false">
      <c r="A50" s="17"/>
      <c r="B50" s="18"/>
      <c r="C50" s="18"/>
      <c r="D50" s="18"/>
      <c r="E50" s="18"/>
      <c r="F50" s="26" t="s">
        <v>171</v>
      </c>
      <c r="G50" s="152" t="s">
        <v>26</v>
      </c>
      <c r="H50" s="174" t="n">
        <v>4</v>
      </c>
      <c r="I50" s="154" t="n">
        <v>1</v>
      </c>
      <c r="J50" s="154" t="n">
        <v>1</v>
      </c>
      <c r="K50" s="155" t="n">
        <v>1409.6</v>
      </c>
      <c r="L50" s="155" t="n">
        <f aca="false">M50+N50</f>
        <v>1409.6</v>
      </c>
      <c r="M50" s="155" t="n">
        <f aca="false">1409.6</f>
        <v>1409.6</v>
      </c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54"/>
      <c r="B51" s="55" t="s">
        <v>53</v>
      </c>
      <c r="C51" s="56" t="s">
        <v>33</v>
      </c>
      <c r="D51" s="56" t="s">
        <v>54</v>
      </c>
      <c r="E51" s="56" t="s">
        <v>42</v>
      </c>
      <c r="F51" s="36"/>
      <c r="G51" s="158" t="s">
        <v>22</v>
      </c>
      <c r="H51" s="159" t="n">
        <v>13</v>
      </c>
      <c r="I51" s="160" t="n">
        <v>6</v>
      </c>
      <c r="J51" s="160" t="n">
        <v>8</v>
      </c>
      <c r="K51" s="161" t="n">
        <v>11601.93</v>
      </c>
      <c r="L51" s="161" t="n">
        <f aca="false">M51+N51</f>
        <v>11601.93</v>
      </c>
      <c r="M51" s="161" t="n">
        <v>11601.93</v>
      </c>
      <c r="N51" s="190"/>
      <c r="O51" s="151" t="n">
        <v>17</v>
      </c>
      <c r="P51" s="149" t="n">
        <v>61726.54</v>
      </c>
      <c r="Q51" s="149" t="n">
        <f aca="false">R51+S51</f>
        <v>47845.54</v>
      </c>
      <c r="R51" s="149" t="n">
        <v>47845.54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54"/>
      <c r="B52" s="55"/>
      <c r="C52" s="55"/>
      <c r="D52" s="55"/>
      <c r="E52" s="55"/>
      <c r="F52" s="57"/>
      <c r="G52" s="152" t="s">
        <v>23</v>
      </c>
      <c r="H52" s="153"/>
      <c r="I52" s="154"/>
      <c r="J52" s="154"/>
      <c r="K52" s="155"/>
      <c r="L52" s="155" t="n">
        <f aca="false">M52+N52</f>
        <v>0</v>
      </c>
      <c r="M52" s="155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33"/>
      <c r="B53" s="34" t="s">
        <v>55</v>
      </c>
      <c r="C53" s="35" t="s">
        <v>20</v>
      </c>
      <c r="D53" s="35"/>
      <c r="E53" s="35" t="s">
        <v>25</v>
      </c>
      <c r="F53" s="38"/>
      <c r="G53" s="146" t="s">
        <v>22</v>
      </c>
      <c r="H53" s="169" t="n">
        <v>1</v>
      </c>
      <c r="I53" s="160"/>
      <c r="J53" s="160"/>
      <c r="K53" s="161"/>
      <c r="L53" s="161" t="n">
        <f aca="false">M53+N53</f>
        <v>0</v>
      </c>
      <c r="M53" s="161"/>
      <c r="N53" s="190"/>
      <c r="O53" s="163" t="n">
        <v>3</v>
      </c>
      <c r="P53" s="161" t="n">
        <v>18745.92</v>
      </c>
      <c r="Q53" s="161" t="n">
        <f aca="false">R53+S53</f>
        <v>18745.92</v>
      </c>
      <c r="R53" s="161" t="n">
        <v>18745.92</v>
      </c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33"/>
      <c r="B54" s="34"/>
      <c r="C54" s="34"/>
      <c r="D54" s="34"/>
      <c r="E54" s="34"/>
      <c r="F54" s="42" t="s">
        <v>172</v>
      </c>
      <c r="G54" s="164" t="s">
        <v>26</v>
      </c>
      <c r="H54" s="171" t="n">
        <v>3</v>
      </c>
      <c r="I54" s="165" t="n">
        <v>1</v>
      </c>
      <c r="J54" s="165" t="n">
        <v>1</v>
      </c>
      <c r="K54" s="166" t="n">
        <v>1057.2</v>
      </c>
      <c r="L54" s="161" t="n">
        <f aca="false">M54+N54</f>
        <v>0</v>
      </c>
      <c r="M54" s="166" t="n">
        <v>0</v>
      </c>
      <c r="N54" s="156"/>
      <c r="O54" s="168" t="n">
        <v>8</v>
      </c>
      <c r="P54" s="166" t="n">
        <v>14217.29</v>
      </c>
      <c r="Q54" s="161" t="n">
        <f aca="false">R54+S54</f>
        <v>18120.69</v>
      </c>
      <c r="R54" s="166" t="n">
        <f aca="false">1409.6+3672.29+13038.8</f>
        <v>18120.69</v>
      </c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.75" hidden="false" customHeight="true" outlineLevel="0" collapsed="false">
      <c r="A55" s="17"/>
      <c r="B55" s="18" t="s">
        <v>56</v>
      </c>
      <c r="C55" s="19" t="s">
        <v>33</v>
      </c>
      <c r="D55" s="19" t="s">
        <v>57</v>
      </c>
      <c r="E55" s="19" t="s">
        <v>25</v>
      </c>
      <c r="F55" s="20"/>
      <c r="G55" s="146" t="s">
        <v>22</v>
      </c>
      <c r="H55" s="159" t="n">
        <v>5</v>
      </c>
      <c r="I55" s="148"/>
      <c r="J55" s="148"/>
      <c r="K55" s="149"/>
      <c r="L55" s="149" t="n">
        <f aca="false">M55+N55</f>
        <v>0</v>
      </c>
      <c r="M55" s="149"/>
      <c r="N55" s="190"/>
      <c r="O55" s="151" t="n">
        <v>11</v>
      </c>
      <c r="P55" s="149" t="n">
        <v>43131.21</v>
      </c>
      <c r="Q55" s="149" t="n">
        <f aca="false">R55+S55</f>
        <v>43131.21</v>
      </c>
      <c r="R55" s="149" t="n">
        <v>43131.21</v>
      </c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17"/>
      <c r="B56" s="18"/>
      <c r="C56" s="18"/>
      <c r="D56" s="18"/>
      <c r="E56" s="18"/>
      <c r="F56" s="42"/>
      <c r="G56" s="164" t="s">
        <v>26</v>
      </c>
      <c r="H56" s="175" t="n">
        <v>3</v>
      </c>
      <c r="I56" s="165"/>
      <c r="J56" s="165"/>
      <c r="K56" s="166"/>
      <c r="L56" s="166" t="n">
        <f aca="false">M56+N56</f>
        <v>0</v>
      </c>
      <c r="M56" s="166"/>
      <c r="N56" s="156"/>
      <c r="O56" s="168" t="n">
        <v>5</v>
      </c>
      <c r="P56" s="166"/>
      <c r="Q56" s="166" t="n">
        <f aca="false">R56+S56</f>
        <v>0</v>
      </c>
      <c r="R56" s="166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17"/>
      <c r="B57" s="18" t="s">
        <v>266</v>
      </c>
      <c r="C57" s="19" t="s">
        <v>20</v>
      </c>
      <c r="D57" s="19"/>
      <c r="E57" s="19" t="s">
        <v>267</v>
      </c>
      <c r="F57" s="20"/>
      <c r="G57" s="146" t="s">
        <v>22</v>
      </c>
      <c r="H57" s="173" t="n">
        <v>1</v>
      </c>
      <c r="I57" s="148"/>
      <c r="J57" s="148"/>
      <c r="K57" s="149"/>
      <c r="L57" s="149" t="n">
        <f aca="false">M57+N57</f>
        <v>0</v>
      </c>
      <c r="M57" s="149"/>
      <c r="N57" s="190"/>
      <c r="O57" s="206"/>
      <c r="P57" s="149"/>
      <c r="Q57" s="149" t="n">
        <f aca="false">R57+S57</f>
        <v>0</v>
      </c>
      <c r="R57" s="149"/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17"/>
      <c r="B58" s="18"/>
      <c r="C58" s="18"/>
      <c r="D58" s="18"/>
      <c r="E58" s="18"/>
      <c r="F58" s="26" t="s">
        <v>268</v>
      </c>
      <c r="G58" s="152" t="s">
        <v>26</v>
      </c>
      <c r="H58" s="174" t="n">
        <v>4</v>
      </c>
      <c r="I58" s="154" t="n">
        <v>2</v>
      </c>
      <c r="J58" s="154" t="n">
        <v>2</v>
      </c>
      <c r="K58" s="155" t="n">
        <v>1233.4</v>
      </c>
      <c r="L58" s="155" t="n">
        <f aca="false">M58+N58</f>
        <v>0</v>
      </c>
      <c r="M58" s="155"/>
      <c r="N58" s="156"/>
      <c r="O58" s="209"/>
      <c r="P58" s="155"/>
      <c r="Q58" s="155" t="n">
        <f aca="false">R58+S58</f>
        <v>0</v>
      </c>
      <c r="R58" s="155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54"/>
      <c r="B59" s="55" t="s">
        <v>155</v>
      </c>
      <c r="C59" s="56"/>
      <c r="D59" s="56"/>
      <c r="E59" s="56"/>
      <c r="F59" s="36"/>
      <c r="G59" s="158" t="s">
        <v>22</v>
      </c>
      <c r="H59" s="159" t="n">
        <v>11</v>
      </c>
      <c r="I59" s="160" t="n">
        <v>8</v>
      </c>
      <c r="J59" s="160" t="n">
        <v>8</v>
      </c>
      <c r="K59" s="161" t="n">
        <v>10651.29</v>
      </c>
      <c r="L59" s="161" t="n">
        <f aca="false">M59+N59</f>
        <v>13482.82</v>
      </c>
      <c r="M59" s="161" t="n">
        <v>5893.89</v>
      </c>
      <c r="N59" s="190" t="n">
        <v>7588.93</v>
      </c>
      <c r="O59" s="163"/>
      <c r="P59" s="161"/>
      <c r="Q59" s="161" t="n">
        <f aca="false">R59+S59</f>
        <v>0</v>
      </c>
      <c r="R59" s="161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54"/>
      <c r="B60" s="55"/>
      <c r="C60" s="55"/>
      <c r="D60" s="55"/>
      <c r="E60" s="55"/>
      <c r="F60" s="71"/>
      <c r="G60" s="164" t="s">
        <v>26</v>
      </c>
      <c r="H60" s="177"/>
      <c r="I60" s="165"/>
      <c r="J60" s="165"/>
      <c r="K60" s="166"/>
      <c r="L60" s="166" t="n">
        <f aca="false">M60+N60</f>
        <v>0</v>
      </c>
      <c r="M60" s="166"/>
      <c r="N60" s="156"/>
      <c r="O60" s="168"/>
      <c r="P60" s="166"/>
      <c r="Q60" s="166" t="n">
        <f aca="false">R60+S60</f>
        <v>0</v>
      </c>
      <c r="R60" s="166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221</v>
      </c>
      <c r="C61" s="19" t="s">
        <v>20</v>
      </c>
      <c r="D61" s="19"/>
      <c r="E61" s="19" t="s">
        <v>278</v>
      </c>
      <c r="F61" s="20"/>
      <c r="G61" s="146" t="s">
        <v>22</v>
      </c>
      <c r="H61" s="173" t="n">
        <v>7</v>
      </c>
      <c r="I61" s="148" t="n">
        <v>2</v>
      </c>
      <c r="J61" s="148" t="n">
        <v>2</v>
      </c>
      <c r="K61" s="149" t="n">
        <v>5127.42</v>
      </c>
      <c r="L61" s="149" t="n">
        <f aca="false">M61+N61</f>
        <v>3717.82</v>
      </c>
      <c r="M61" s="149" t="n">
        <v>3717.82</v>
      </c>
      <c r="N61" s="190"/>
      <c r="O61" s="151"/>
      <c r="P61" s="149"/>
      <c r="Q61" s="149" t="n">
        <f aca="false">R61+S61</f>
        <v>0</v>
      </c>
      <c r="R61" s="149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26" t="s">
        <v>233</v>
      </c>
      <c r="G62" s="152" t="s">
        <v>23</v>
      </c>
      <c r="H62" s="174" t="n">
        <v>5</v>
      </c>
      <c r="I62" s="154" t="n">
        <v>5</v>
      </c>
      <c r="J62" s="154" t="n">
        <v>5</v>
      </c>
      <c r="K62" s="155" t="n">
        <v>4052.6</v>
      </c>
      <c r="L62" s="155" t="n">
        <f aca="false">M62+N62</f>
        <v>704.8</v>
      </c>
      <c r="M62" s="155"/>
      <c r="N62" s="156" t="n">
        <v>704.8</v>
      </c>
      <c r="O62" s="157"/>
      <c r="P62" s="155"/>
      <c r="Q62" s="155" t="n">
        <f aca="false">R62+S62</f>
        <v>0</v>
      </c>
      <c r="R62" s="155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33"/>
      <c r="B63" s="34" t="s">
        <v>58</v>
      </c>
      <c r="C63" s="35" t="s">
        <v>20</v>
      </c>
      <c r="D63" s="35"/>
      <c r="E63" s="35" t="s">
        <v>52</v>
      </c>
      <c r="F63" s="36"/>
      <c r="G63" s="158" t="s">
        <v>22</v>
      </c>
      <c r="H63" s="159" t="n">
        <v>9</v>
      </c>
      <c r="I63" s="160" t="n">
        <v>4</v>
      </c>
      <c r="J63" s="160" t="n">
        <v>7</v>
      </c>
      <c r="K63" s="161" t="n">
        <v>12569.67</v>
      </c>
      <c r="L63" s="161" t="n">
        <f aca="false">M63+N63</f>
        <v>7830.33</v>
      </c>
      <c r="M63" s="161" t="n">
        <v>7830.33</v>
      </c>
      <c r="N63" s="190"/>
      <c r="O63" s="163" t="n">
        <v>9</v>
      </c>
      <c r="P63" s="161" t="n">
        <v>47058.66</v>
      </c>
      <c r="Q63" s="161" t="n">
        <f aca="false">R63+S63</f>
        <v>39387.3</v>
      </c>
      <c r="R63" s="161" t="n">
        <v>39387.3</v>
      </c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71"/>
      <c r="G64" s="164" t="s">
        <v>26</v>
      </c>
      <c r="H64" s="175"/>
      <c r="I64" s="165"/>
      <c r="J64" s="165"/>
      <c r="K64" s="166"/>
      <c r="L64" s="166" t="n">
        <f aca="false">M64+N64</f>
        <v>0</v>
      </c>
      <c r="M64" s="166"/>
      <c r="N64" s="156"/>
      <c r="O64" s="168"/>
      <c r="P64" s="166"/>
      <c r="Q64" s="166" t="n">
        <f aca="false">R64+S64</f>
        <v>0</v>
      </c>
      <c r="R64" s="166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17"/>
      <c r="B65" s="18" t="s">
        <v>269</v>
      </c>
      <c r="C65" s="19"/>
      <c r="D65" s="49"/>
      <c r="E65" s="19"/>
      <c r="F65" s="22"/>
      <c r="G65" s="146" t="s">
        <v>22</v>
      </c>
      <c r="H65" s="147" t="n">
        <v>4</v>
      </c>
      <c r="I65" s="148"/>
      <c r="J65" s="148"/>
      <c r="K65" s="149"/>
      <c r="L65" s="149" t="n">
        <f aca="false">M65+N65</f>
        <v>0</v>
      </c>
      <c r="M65" s="149"/>
      <c r="N65" s="190"/>
      <c r="O65" s="206"/>
      <c r="P65" s="149"/>
      <c r="Q65" s="149" t="n">
        <f aca="false">R65+S65</f>
        <v>0</v>
      </c>
      <c r="R65" s="149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17"/>
      <c r="B66" s="18"/>
      <c r="C66" s="18"/>
      <c r="D66" s="18"/>
      <c r="E66" s="18"/>
      <c r="F66" s="26"/>
      <c r="G66" s="152" t="s">
        <v>26</v>
      </c>
      <c r="H66" s="176"/>
      <c r="I66" s="154"/>
      <c r="J66" s="154"/>
      <c r="K66" s="155"/>
      <c r="L66" s="155" t="n">
        <f aca="false">M66+N66</f>
        <v>0</v>
      </c>
      <c r="M66" s="155"/>
      <c r="N66" s="156"/>
      <c r="O66" s="209"/>
      <c r="P66" s="155"/>
      <c r="Q66" s="155" t="n">
        <f aca="false">R66+S66</f>
        <v>0</v>
      </c>
      <c r="R66" s="155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54"/>
      <c r="B67" s="55" t="s">
        <v>222</v>
      </c>
      <c r="C67" s="56" t="s">
        <v>20</v>
      </c>
      <c r="D67" s="78"/>
      <c r="E67" s="56" t="s">
        <v>279</v>
      </c>
      <c r="F67" s="38"/>
      <c r="G67" s="158" t="s">
        <v>22</v>
      </c>
      <c r="H67" s="169" t="n">
        <v>16</v>
      </c>
      <c r="I67" s="160" t="n">
        <v>1</v>
      </c>
      <c r="J67" s="160" t="n">
        <v>1</v>
      </c>
      <c r="K67" s="161" t="n">
        <v>3383.04</v>
      </c>
      <c r="L67" s="161" t="n">
        <f aca="false">M67+N67</f>
        <v>3383.04</v>
      </c>
      <c r="M67" s="161" t="n">
        <v>3383.04</v>
      </c>
      <c r="N67" s="190"/>
      <c r="O67" s="163"/>
      <c r="P67" s="161"/>
      <c r="Q67" s="161" t="n">
        <f aca="false">R67+S67</f>
        <v>0</v>
      </c>
      <c r="R67" s="161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54"/>
      <c r="B68" s="55"/>
      <c r="C68" s="55"/>
      <c r="D68" s="55"/>
      <c r="E68" s="55"/>
      <c r="F68" s="42" t="s">
        <v>234</v>
      </c>
      <c r="G68" s="164" t="s">
        <v>23</v>
      </c>
      <c r="H68" s="178" t="n">
        <v>3</v>
      </c>
      <c r="I68" s="165"/>
      <c r="J68" s="165"/>
      <c r="K68" s="166"/>
      <c r="L68" s="166" t="n">
        <f aca="false">M68+N68</f>
        <v>0</v>
      </c>
      <c r="M68" s="166"/>
      <c r="N68" s="156"/>
      <c r="O68" s="168"/>
      <c r="P68" s="166"/>
      <c r="Q68" s="166" t="n">
        <f aca="false">R68+S68</f>
        <v>0</v>
      </c>
      <c r="R68" s="166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17"/>
      <c r="B69" s="18" t="s">
        <v>249</v>
      </c>
      <c r="C69" s="19"/>
      <c r="D69" s="49"/>
      <c r="E69" s="19"/>
      <c r="F69" s="22"/>
      <c r="G69" s="146" t="s">
        <v>22</v>
      </c>
      <c r="H69" s="147"/>
      <c r="I69" s="148"/>
      <c r="J69" s="148"/>
      <c r="K69" s="149"/>
      <c r="L69" s="149" t="n">
        <f aca="false">M69+N69</f>
        <v>0</v>
      </c>
      <c r="M69" s="149"/>
      <c r="N69" s="190"/>
      <c r="O69" s="206"/>
      <c r="P69" s="149"/>
      <c r="Q69" s="149" t="n">
        <f aca="false">R69+S69</f>
        <v>0</v>
      </c>
      <c r="R69" s="149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17"/>
      <c r="B70" s="18"/>
      <c r="C70" s="18"/>
      <c r="D70" s="18"/>
      <c r="E70" s="18"/>
      <c r="F70" s="223" t="s">
        <v>250</v>
      </c>
      <c r="G70" s="152" t="s">
        <v>26</v>
      </c>
      <c r="H70" s="176" t="n">
        <v>3</v>
      </c>
      <c r="I70" s="154"/>
      <c r="J70" s="154"/>
      <c r="K70" s="155"/>
      <c r="L70" s="155" t="n">
        <f aca="false">M70+N70</f>
        <v>0</v>
      </c>
      <c r="M70" s="155"/>
      <c r="N70" s="156"/>
      <c r="O70" s="209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33"/>
      <c r="B71" s="34" t="s">
        <v>59</v>
      </c>
      <c r="C71" s="35" t="s">
        <v>20</v>
      </c>
      <c r="D71" s="95"/>
      <c r="E71" s="35" t="s">
        <v>25</v>
      </c>
      <c r="F71" s="38"/>
      <c r="G71" s="158" t="s">
        <v>22</v>
      </c>
      <c r="H71" s="169"/>
      <c r="I71" s="160"/>
      <c r="J71" s="160"/>
      <c r="K71" s="161"/>
      <c r="L71" s="161" t="n">
        <f aca="false">M71+N71</f>
        <v>0</v>
      </c>
      <c r="M71" s="161"/>
      <c r="N71" s="190"/>
      <c r="O71" s="163"/>
      <c r="P71" s="161"/>
      <c r="Q71" s="161" t="n">
        <f aca="false">R71+S71</f>
        <v>0</v>
      </c>
      <c r="R71" s="161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33"/>
      <c r="B72" s="34"/>
      <c r="C72" s="34"/>
      <c r="D72" s="34"/>
      <c r="E72" s="34"/>
      <c r="F72" s="71"/>
      <c r="G72" s="164" t="s">
        <v>26</v>
      </c>
      <c r="H72" s="153"/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17"/>
      <c r="B73" s="18" t="s">
        <v>60</v>
      </c>
      <c r="C73" s="19" t="s">
        <v>20</v>
      </c>
      <c r="D73" s="19"/>
      <c r="E73" s="19" t="s">
        <v>21</v>
      </c>
      <c r="F73" s="22"/>
      <c r="G73" s="146" t="s">
        <v>22</v>
      </c>
      <c r="H73" s="169" t="n">
        <v>2</v>
      </c>
      <c r="I73" s="148"/>
      <c r="J73" s="148"/>
      <c r="K73" s="149"/>
      <c r="L73" s="149" t="n">
        <f aca="false">M73+N73</f>
        <v>0</v>
      </c>
      <c r="M73" s="149"/>
      <c r="N73" s="190"/>
      <c r="O73" s="151" t="n">
        <v>1</v>
      </c>
      <c r="P73" s="149" t="n">
        <v>881</v>
      </c>
      <c r="Q73" s="149" t="n">
        <f aca="false">R73+S73</f>
        <v>881</v>
      </c>
      <c r="R73" s="149" t="n">
        <v>881</v>
      </c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17"/>
      <c r="B74" s="18"/>
      <c r="C74" s="18"/>
      <c r="D74" s="18"/>
      <c r="E74" s="18"/>
      <c r="F74" s="71"/>
      <c r="G74" s="164" t="s">
        <v>23</v>
      </c>
      <c r="H74" s="175"/>
      <c r="I74" s="165"/>
      <c r="J74" s="165"/>
      <c r="K74" s="166"/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.75" hidden="false" customHeight="true" outlineLevel="0" collapsed="false">
      <c r="A75" s="17"/>
      <c r="B75" s="18" t="s">
        <v>223</v>
      </c>
      <c r="C75" s="19" t="s">
        <v>33</v>
      </c>
      <c r="D75" s="19" t="s">
        <v>280</v>
      </c>
      <c r="E75" s="19" t="s">
        <v>259</v>
      </c>
      <c r="F75" s="20"/>
      <c r="G75" s="146" t="s">
        <v>22</v>
      </c>
      <c r="H75" s="173" t="n">
        <v>9</v>
      </c>
      <c r="I75" s="148" t="n">
        <v>1</v>
      </c>
      <c r="J75" s="148" t="n">
        <v>1</v>
      </c>
      <c r="K75" s="149" t="n">
        <v>845.76</v>
      </c>
      <c r="L75" s="149" t="n">
        <f aca="false">M75+N75</f>
        <v>5039.32</v>
      </c>
      <c r="M75" s="149"/>
      <c r="N75" s="190" t="n">
        <v>5039.32</v>
      </c>
      <c r="O75" s="151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26" t="s">
        <v>235</v>
      </c>
      <c r="G76" s="152" t="s">
        <v>23</v>
      </c>
      <c r="H76" s="174" t="n">
        <v>23</v>
      </c>
      <c r="I76" s="154" t="n">
        <v>11</v>
      </c>
      <c r="J76" s="154" t="n">
        <v>11</v>
      </c>
      <c r="K76" s="155" t="n">
        <v>14419.32</v>
      </c>
      <c r="L76" s="155" t="n">
        <v>7075.6</v>
      </c>
      <c r="M76" s="155" t="n">
        <v>7075.6</v>
      </c>
      <c r="N76" s="156"/>
      <c r="O76" s="157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33"/>
      <c r="B77" s="34" t="s">
        <v>61</v>
      </c>
      <c r="C77" s="35" t="s">
        <v>33</v>
      </c>
      <c r="D77" s="56" t="s">
        <v>62</v>
      </c>
      <c r="E77" s="35" t="s">
        <v>25</v>
      </c>
      <c r="F77" s="36"/>
      <c r="G77" s="158" t="s">
        <v>22</v>
      </c>
      <c r="H77" s="159" t="n">
        <v>4</v>
      </c>
      <c r="I77" s="160" t="n">
        <v>3</v>
      </c>
      <c r="J77" s="160" t="n">
        <v>3</v>
      </c>
      <c r="K77" s="161" t="n">
        <v>4510.72</v>
      </c>
      <c r="L77" s="161" t="n">
        <f aca="false">M77+N77</f>
        <v>4510.72</v>
      </c>
      <c r="M77" s="161" t="n">
        <v>4510.72</v>
      </c>
      <c r="N77" s="190"/>
      <c r="O77" s="163" t="n">
        <v>1</v>
      </c>
      <c r="P77" s="161" t="n">
        <v>5123.54</v>
      </c>
      <c r="Q77" s="161" t="n">
        <f aca="false">R77+S77</f>
        <v>5123.54</v>
      </c>
      <c r="R77" s="161" t="n">
        <v>5123.54</v>
      </c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56"/>
      <c r="E78" s="35"/>
      <c r="F78" s="42" t="s">
        <v>173</v>
      </c>
      <c r="G78" s="164" t="s">
        <v>26</v>
      </c>
      <c r="H78" s="153" t="n">
        <v>2</v>
      </c>
      <c r="I78" s="165" t="n">
        <v>2</v>
      </c>
      <c r="J78" s="165" t="n">
        <v>2</v>
      </c>
      <c r="K78" s="166" t="n">
        <v>1409.6</v>
      </c>
      <c r="L78" s="166" t="n">
        <f aca="false">M78+N78</f>
        <v>704.8</v>
      </c>
      <c r="M78" s="166" t="n">
        <f aca="false">704.8</f>
        <v>704.8</v>
      </c>
      <c r="N78" s="156"/>
      <c r="O78" s="168" t="n">
        <v>2</v>
      </c>
      <c r="P78" s="166" t="n">
        <v>3171.6</v>
      </c>
      <c r="Q78" s="166" t="n">
        <f aca="false">R78+S78</f>
        <v>2907.3</v>
      </c>
      <c r="R78" s="166" t="n">
        <f aca="false">2907.3</f>
        <v>2907.3</v>
      </c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72"/>
      <c r="B79" s="73" t="s">
        <v>63</v>
      </c>
      <c r="C79" s="74" t="s">
        <v>20</v>
      </c>
      <c r="D79" s="74"/>
      <c r="E79" s="74" t="s">
        <v>25</v>
      </c>
      <c r="F79" s="20"/>
      <c r="G79" s="146" t="s">
        <v>22</v>
      </c>
      <c r="H79" s="169" t="n">
        <v>5</v>
      </c>
      <c r="I79" s="148" t="n">
        <v>1</v>
      </c>
      <c r="J79" s="148" t="n">
        <v>1</v>
      </c>
      <c r="K79" s="149" t="n">
        <v>1162.92</v>
      </c>
      <c r="L79" s="149" t="n">
        <f aca="false">M79+N79</f>
        <v>1162.92</v>
      </c>
      <c r="M79" s="149" t="n">
        <v>1162.92</v>
      </c>
      <c r="N79" s="190"/>
      <c r="O79" s="151" t="n">
        <v>8</v>
      </c>
      <c r="P79" s="149" t="n">
        <v>28069.07</v>
      </c>
      <c r="Q79" s="149" t="n">
        <f aca="false">R79+S79</f>
        <v>28069.07</v>
      </c>
      <c r="R79" s="149" t="n">
        <v>28069.07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42" t="s">
        <v>174</v>
      </c>
      <c r="G80" s="164" t="s">
        <v>26</v>
      </c>
      <c r="H80" s="153" t="n">
        <v>3</v>
      </c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" hidden="false" customHeight="true" outlineLevel="0" collapsed="false">
      <c r="A81" s="72"/>
      <c r="B81" s="73" t="s">
        <v>64</v>
      </c>
      <c r="C81" s="74" t="s">
        <v>20</v>
      </c>
      <c r="D81" s="74"/>
      <c r="E81" s="74" t="s">
        <v>25</v>
      </c>
      <c r="F81" s="20"/>
      <c r="G81" s="146" t="s">
        <v>22</v>
      </c>
      <c r="H81" s="169"/>
      <c r="I81" s="148"/>
      <c r="J81" s="148"/>
      <c r="K81" s="149"/>
      <c r="L81" s="149" t="n">
        <f aca="false">M81+N81</f>
        <v>0</v>
      </c>
      <c r="M81" s="149"/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72"/>
      <c r="B82" s="73"/>
      <c r="C82" s="73"/>
      <c r="D82" s="73"/>
      <c r="E82" s="73"/>
      <c r="F82" s="71"/>
      <c r="G82" s="164" t="s">
        <v>26</v>
      </c>
      <c r="H82" s="153"/>
      <c r="I82" s="165"/>
      <c r="J82" s="165"/>
      <c r="K82" s="166"/>
      <c r="L82" s="166" t="n">
        <f aca="false">M82+N82</f>
        <v>0</v>
      </c>
      <c r="M82" s="166"/>
      <c r="N82" s="156"/>
      <c r="O82" s="168"/>
      <c r="P82" s="166"/>
      <c r="Q82" s="166" t="n">
        <f aca="false">R82+S82</f>
        <v>0</v>
      </c>
      <c r="R82" s="166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17"/>
      <c r="B83" s="18" t="s">
        <v>65</v>
      </c>
      <c r="C83" s="19" t="s">
        <v>33</v>
      </c>
      <c r="D83" s="19" t="s">
        <v>66</v>
      </c>
      <c r="E83" s="19" t="s">
        <v>67</v>
      </c>
      <c r="F83" s="20"/>
      <c r="G83" s="146" t="s">
        <v>22</v>
      </c>
      <c r="H83" s="159" t="n">
        <v>7</v>
      </c>
      <c r="I83" s="148" t="n">
        <v>2</v>
      </c>
      <c r="J83" s="148" t="n">
        <v>3</v>
      </c>
      <c r="K83" s="149" t="n">
        <v>3057.07</v>
      </c>
      <c r="L83" s="149" t="n">
        <f aca="false">M83+N83</f>
        <v>3057.07</v>
      </c>
      <c r="M83" s="149" t="n">
        <v>3057.07</v>
      </c>
      <c r="N83" s="190"/>
      <c r="O83" s="151" t="n">
        <v>5</v>
      </c>
      <c r="P83" s="149" t="n">
        <v>14207.76</v>
      </c>
      <c r="Q83" s="149" t="n">
        <f aca="false">R83+S83</f>
        <v>14207.76</v>
      </c>
      <c r="R83" s="149" t="n">
        <v>14207.76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17"/>
      <c r="B84" s="18"/>
      <c r="C84" s="18"/>
      <c r="D84" s="18"/>
      <c r="E84" s="18"/>
      <c r="F84" s="42" t="s">
        <v>236</v>
      </c>
      <c r="G84" s="164" t="s">
        <v>23</v>
      </c>
      <c r="H84" s="172" t="n">
        <v>33</v>
      </c>
      <c r="I84" s="165" t="n">
        <v>26</v>
      </c>
      <c r="J84" s="165" t="n">
        <v>26</v>
      </c>
      <c r="K84" s="166" t="n">
        <v>29277.8</v>
      </c>
      <c r="L84" s="166" t="n">
        <v>3524</v>
      </c>
      <c r="M84" s="166" t="n">
        <v>3524</v>
      </c>
      <c r="N84" s="156" t="n">
        <v>4052.6</v>
      </c>
      <c r="O84" s="168" t="n">
        <v>34</v>
      </c>
      <c r="P84" s="166" t="n">
        <v>70390.42</v>
      </c>
      <c r="Q84" s="166" t="n">
        <v>30232.1</v>
      </c>
      <c r="R84" s="166" t="n">
        <v>30232.1</v>
      </c>
      <c r="S84" s="156" t="n">
        <v>9162.4</v>
      </c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17"/>
      <c r="B85" s="18" t="s">
        <v>175</v>
      </c>
      <c r="C85" s="19"/>
      <c r="D85" s="19"/>
      <c r="E85" s="19"/>
      <c r="F85" s="137"/>
      <c r="G85" s="146" t="s">
        <v>22</v>
      </c>
      <c r="H85" s="147" t="n">
        <v>5</v>
      </c>
      <c r="I85" s="148" t="n">
        <v>2</v>
      </c>
      <c r="J85" s="148" t="n">
        <v>3</v>
      </c>
      <c r="K85" s="149" t="n">
        <v>5340.62</v>
      </c>
      <c r="L85" s="149" t="n">
        <f aca="false">M85+N85</f>
        <v>2035.11</v>
      </c>
      <c r="M85" s="149"/>
      <c r="N85" s="190" t="n">
        <v>2035.11</v>
      </c>
      <c r="O85" s="151"/>
      <c r="P85" s="149"/>
      <c r="Q85" s="149" t="n">
        <f aca="false">R85+S85</f>
        <v>0</v>
      </c>
      <c r="R85" s="149"/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" hidden="false" customHeight="false" outlineLevel="0" collapsed="false">
      <c r="A86" s="17"/>
      <c r="B86" s="18"/>
      <c r="C86" s="18"/>
      <c r="D86" s="18"/>
      <c r="E86" s="18"/>
      <c r="F86" s="89"/>
      <c r="G86" s="164" t="s">
        <v>26</v>
      </c>
      <c r="H86" s="178" t="n">
        <v>6</v>
      </c>
      <c r="I86" s="165" t="n">
        <v>3</v>
      </c>
      <c r="J86" s="165" t="n">
        <v>3</v>
      </c>
      <c r="K86" s="166" t="n">
        <v>6343.2</v>
      </c>
      <c r="L86" s="166" t="n">
        <f aca="false">M86+N86</f>
        <v>2290.6</v>
      </c>
      <c r="M86" s="166" t="n">
        <f aca="false">2290.6</f>
        <v>2290.6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68</v>
      </c>
      <c r="C87" s="19" t="s">
        <v>20</v>
      </c>
      <c r="D87" s="19"/>
      <c r="E87" s="19" t="s">
        <v>69</v>
      </c>
      <c r="F87" s="22"/>
      <c r="G87" s="146" t="s">
        <v>22</v>
      </c>
      <c r="H87" s="147" t="n">
        <v>5</v>
      </c>
      <c r="I87" s="148" t="n">
        <v>2</v>
      </c>
      <c r="J87" s="148" t="n">
        <v>2</v>
      </c>
      <c r="K87" s="149" t="n">
        <v>4105.29</v>
      </c>
      <c r="L87" s="149" t="n">
        <f aca="false">M87+N87</f>
        <v>4105.29</v>
      </c>
      <c r="M87" s="149" t="n">
        <v>4105.29</v>
      </c>
      <c r="N87" s="190"/>
      <c r="O87" s="151" t="n">
        <v>13</v>
      </c>
      <c r="P87" s="149" t="n">
        <v>44101.84</v>
      </c>
      <c r="Q87" s="149" t="n">
        <f aca="false">R87+S87</f>
        <v>21614.18</v>
      </c>
      <c r="R87" s="149" t="n">
        <v>21614.18</v>
      </c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26" t="s">
        <v>176</v>
      </c>
      <c r="G88" s="152" t="s">
        <v>26</v>
      </c>
      <c r="H88" s="153" t="n">
        <v>7</v>
      </c>
      <c r="I88" s="154" t="n">
        <v>2</v>
      </c>
      <c r="J88" s="154" t="n">
        <v>2</v>
      </c>
      <c r="K88" s="235" t="n">
        <v>4304</v>
      </c>
      <c r="L88" s="155" t="n">
        <f aca="false">M88+N88</f>
        <v>2819.2</v>
      </c>
      <c r="M88" s="155" t="n">
        <f aca="false">2819.2</f>
        <v>2819.2</v>
      </c>
      <c r="N88" s="156"/>
      <c r="O88" s="157"/>
      <c r="P88" s="155" t="n">
        <v>5462.2</v>
      </c>
      <c r="Q88" s="155" t="n">
        <f aca="false">R88+S88</f>
        <v>4405</v>
      </c>
      <c r="R88" s="155" t="n">
        <f aca="false">4405</f>
        <v>4405</v>
      </c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54"/>
      <c r="B89" s="55" t="s">
        <v>70</v>
      </c>
      <c r="C89" s="56" t="s">
        <v>20</v>
      </c>
      <c r="D89" s="56" t="s">
        <v>71</v>
      </c>
      <c r="E89" s="56" t="s">
        <v>25</v>
      </c>
      <c r="F89" s="36"/>
      <c r="G89" s="158" t="s">
        <v>22</v>
      </c>
      <c r="H89" s="169" t="n">
        <v>1</v>
      </c>
      <c r="I89" s="160"/>
      <c r="J89" s="160"/>
      <c r="K89" s="161"/>
      <c r="L89" s="161" t="n">
        <f aca="false">M89+N89</f>
        <v>0</v>
      </c>
      <c r="M89" s="161"/>
      <c r="N89" s="190"/>
      <c r="O89" s="163" t="n">
        <v>4</v>
      </c>
      <c r="P89" s="161" t="n">
        <v>27231.45</v>
      </c>
      <c r="Q89" s="161" t="n">
        <f aca="false">R89+S89</f>
        <v>7836.01</v>
      </c>
      <c r="R89" s="161" t="n">
        <v>7836.01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54"/>
      <c r="B90" s="55"/>
      <c r="C90" s="55"/>
      <c r="D90" s="55"/>
      <c r="E90" s="55"/>
      <c r="F90" s="26" t="s">
        <v>177</v>
      </c>
      <c r="G90" s="152" t="s">
        <v>26</v>
      </c>
      <c r="H90" s="153" t="n">
        <v>6</v>
      </c>
      <c r="I90" s="154" t="n">
        <v>1</v>
      </c>
      <c r="J90" s="154" t="n">
        <v>1</v>
      </c>
      <c r="K90" s="155" t="n">
        <v>1409.6</v>
      </c>
      <c r="L90" s="155" t="n">
        <f aca="false">M90+N90</f>
        <v>0</v>
      </c>
      <c r="M90" s="155"/>
      <c r="N90" s="156"/>
      <c r="O90" s="157"/>
      <c r="P90" s="155"/>
      <c r="Q90" s="155" t="n">
        <f aca="false">R90+S90</f>
        <v>0</v>
      </c>
      <c r="R90" s="155"/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33"/>
      <c r="B91" s="34" t="s">
        <v>72</v>
      </c>
      <c r="C91" s="35" t="s">
        <v>20</v>
      </c>
      <c r="D91" s="35"/>
      <c r="E91" s="35" t="s">
        <v>52</v>
      </c>
      <c r="F91" s="36"/>
      <c r="G91" s="146" t="s">
        <v>22</v>
      </c>
      <c r="H91" s="159" t="n">
        <v>3</v>
      </c>
      <c r="I91" s="160" t="n">
        <v>1</v>
      </c>
      <c r="J91" s="160" t="n">
        <v>1</v>
      </c>
      <c r="K91" s="161" t="n">
        <v>2948.8</v>
      </c>
      <c r="L91" s="161" t="n">
        <f aca="false">M91+N91</f>
        <v>2948.8</v>
      </c>
      <c r="M91" s="161" t="n">
        <v>2948.8</v>
      </c>
      <c r="N91" s="190"/>
      <c r="O91" s="163" t="n">
        <v>5</v>
      </c>
      <c r="P91" s="161" t="n">
        <v>34297.64</v>
      </c>
      <c r="Q91" s="161" t="n">
        <f aca="false">R91+S91</f>
        <v>34299.64</v>
      </c>
      <c r="R91" s="161" t="n">
        <v>34299.64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 t="s">
        <v>178</v>
      </c>
      <c r="G92" s="164" t="s">
        <v>26</v>
      </c>
      <c r="H92" s="171" t="n">
        <v>3</v>
      </c>
      <c r="I92" s="165" t="n">
        <v>1</v>
      </c>
      <c r="J92" s="165" t="n">
        <v>1</v>
      </c>
      <c r="K92" s="166" t="n">
        <v>704.8</v>
      </c>
      <c r="L92" s="161" t="n">
        <f aca="false">M92+N92</f>
        <v>4052.6</v>
      </c>
      <c r="M92" s="166" t="n">
        <v>4052.6</v>
      </c>
      <c r="N92" s="156"/>
      <c r="O92" s="168" t="n">
        <v>3</v>
      </c>
      <c r="P92" s="166" t="n">
        <v>11108.48</v>
      </c>
      <c r="Q92" s="166" t="n">
        <f aca="false">R92+S92</f>
        <v>11989.48</v>
      </c>
      <c r="R92" s="166" t="n">
        <f aca="false">3347.8+8641.68</f>
        <v>11989.48</v>
      </c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73</v>
      </c>
      <c r="C93" s="19" t="s">
        <v>20</v>
      </c>
      <c r="D93" s="19"/>
      <c r="E93" s="19" t="s">
        <v>52</v>
      </c>
      <c r="F93" s="20"/>
      <c r="G93" s="146" t="s">
        <v>22</v>
      </c>
      <c r="H93" s="159" t="n">
        <v>4</v>
      </c>
      <c r="I93" s="148" t="n">
        <v>2</v>
      </c>
      <c r="J93" s="148" t="n">
        <v>2</v>
      </c>
      <c r="K93" s="149" t="n">
        <v>2277.26</v>
      </c>
      <c r="L93" s="149" t="n">
        <f aca="false">M93+N93</f>
        <v>2277.26</v>
      </c>
      <c r="M93" s="149" t="n">
        <v>2277.26</v>
      </c>
      <c r="N93" s="190"/>
      <c r="O93" s="151" t="n">
        <v>3</v>
      </c>
      <c r="P93" s="149" t="n">
        <v>10069.05</v>
      </c>
      <c r="Q93" s="149" t="n">
        <f aca="false">R93+S93</f>
        <v>10069.05</v>
      </c>
      <c r="R93" s="149" t="n">
        <v>10069.05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179</v>
      </c>
      <c r="G94" s="152" t="s">
        <v>26</v>
      </c>
      <c r="H94" s="153" t="n">
        <v>6</v>
      </c>
      <c r="I94" s="154" t="n">
        <v>3</v>
      </c>
      <c r="J94" s="154" t="n">
        <v>3</v>
      </c>
      <c r="K94" s="155" t="n">
        <v>8454.6</v>
      </c>
      <c r="L94" s="155" t="n">
        <f aca="false">M94+N94</f>
        <v>9162.4</v>
      </c>
      <c r="M94" s="155" t="n">
        <v>5109.8</v>
      </c>
      <c r="N94" s="156" t="n">
        <v>4052.6</v>
      </c>
      <c r="O94" s="157" t="n">
        <v>2</v>
      </c>
      <c r="P94" s="155"/>
      <c r="Q94" s="155" t="n">
        <f aca="false">R94+S94</f>
        <v>0</v>
      </c>
      <c r="R94" s="155"/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33"/>
      <c r="B95" s="34" t="s">
        <v>74</v>
      </c>
      <c r="C95" s="35" t="s">
        <v>33</v>
      </c>
      <c r="D95" s="35" t="s">
        <v>75</v>
      </c>
      <c r="E95" s="35" t="s">
        <v>25</v>
      </c>
      <c r="F95" s="36"/>
      <c r="G95" s="146" t="s">
        <v>22</v>
      </c>
      <c r="H95" s="159" t="n">
        <v>23</v>
      </c>
      <c r="I95" s="160" t="n">
        <v>15</v>
      </c>
      <c r="J95" s="160" t="n">
        <v>16</v>
      </c>
      <c r="K95" s="161" t="n">
        <v>21031.86</v>
      </c>
      <c r="L95" s="161" t="n">
        <f aca="false">M95+N95</f>
        <v>11782.59</v>
      </c>
      <c r="M95" s="161" t="n">
        <v>10561.52</v>
      </c>
      <c r="N95" s="190" t="n">
        <v>1221.07</v>
      </c>
      <c r="O95" s="163" t="n">
        <v>22</v>
      </c>
      <c r="P95" s="161" t="n">
        <v>54906.32</v>
      </c>
      <c r="Q95" s="161" t="n">
        <f aca="false">R95+S95</f>
        <v>42638.01</v>
      </c>
      <c r="R95" s="161" t="n">
        <v>40347.41</v>
      </c>
      <c r="S95" s="190" t="n">
        <v>2290.6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33"/>
      <c r="B96" s="34"/>
      <c r="C96" s="34"/>
      <c r="D96" s="34"/>
      <c r="E96" s="34"/>
      <c r="F96" s="42" t="s">
        <v>270</v>
      </c>
      <c r="G96" s="164" t="s">
        <v>26</v>
      </c>
      <c r="H96" s="153"/>
      <c r="I96" s="165"/>
      <c r="J96" s="165"/>
      <c r="K96" s="166"/>
      <c r="L96" s="166" t="n">
        <f aca="false">M96+N96</f>
        <v>0</v>
      </c>
      <c r="M96" s="166"/>
      <c r="N96" s="156"/>
      <c r="O96" s="168" t="n">
        <v>6</v>
      </c>
      <c r="P96" s="166" t="n">
        <v>15858</v>
      </c>
      <c r="Q96" s="166" t="n">
        <f aca="false">R96+S96</f>
        <v>21936.9</v>
      </c>
      <c r="R96" s="166" t="n">
        <v>21936.9</v>
      </c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72"/>
      <c r="B97" s="73" t="s">
        <v>76</v>
      </c>
      <c r="C97" s="74" t="s">
        <v>20</v>
      </c>
      <c r="D97" s="74" t="s">
        <v>180</v>
      </c>
      <c r="E97" s="74" t="s">
        <v>25</v>
      </c>
      <c r="F97" s="20"/>
      <c r="G97" s="146" t="s">
        <v>22</v>
      </c>
      <c r="H97" s="159" t="n">
        <v>13</v>
      </c>
      <c r="I97" s="148" t="n">
        <v>9</v>
      </c>
      <c r="J97" s="148" t="n">
        <v>9</v>
      </c>
      <c r="K97" s="149" t="n">
        <v>5563.84</v>
      </c>
      <c r="L97" s="149" t="n">
        <f aca="false">M97+N97</f>
        <v>5035.24</v>
      </c>
      <c r="M97" s="149" t="n">
        <v>5035.24</v>
      </c>
      <c r="N97" s="190"/>
      <c r="O97" s="151" t="n">
        <v>2</v>
      </c>
      <c r="P97" s="149" t="n">
        <v>12380.09</v>
      </c>
      <c r="Q97" s="149" t="n">
        <f aca="false">R97+S97</f>
        <v>12380.09</v>
      </c>
      <c r="R97" s="149" t="n">
        <v>12380.09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72"/>
      <c r="B98" s="73"/>
      <c r="C98" s="73"/>
      <c r="D98" s="73"/>
      <c r="E98" s="73"/>
      <c r="F98" s="42" t="s">
        <v>181</v>
      </c>
      <c r="G98" s="164" t="s">
        <v>26</v>
      </c>
      <c r="H98" s="171" t="n">
        <v>5</v>
      </c>
      <c r="I98" s="165"/>
      <c r="J98" s="165"/>
      <c r="K98" s="166"/>
      <c r="L98" s="166" t="n">
        <f aca="false">M98+N98</f>
        <v>0</v>
      </c>
      <c r="M98" s="166"/>
      <c r="N98" s="156"/>
      <c r="O98" s="168" t="n">
        <v>7</v>
      </c>
      <c r="P98" s="166" t="n">
        <v>8457.6</v>
      </c>
      <c r="Q98" s="166" t="n">
        <f aca="false">R98+S98</f>
        <v>7488.5</v>
      </c>
      <c r="R98" s="165" t="n">
        <v>6431.3</v>
      </c>
      <c r="S98" s="156" t="n">
        <v>1057.2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77</v>
      </c>
      <c r="C99" s="19" t="s">
        <v>38</v>
      </c>
      <c r="D99" s="19" t="s">
        <v>78</v>
      </c>
      <c r="E99" s="19" t="s">
        <v>25</v>
      </c>
      <c r="F99" s="22"/>
      <c r="G99" s="146" t="s">
        <v>22</v>
      </c>
      <c r="H99" s="169" t="n">
        <v>8</v>
      </c>
      <c r="I99" s="148" t="n">
        <v>7</v>
      </c>
      <c r="J99" s="148" t="n">
        <v>7</v>
      </c>
      <c r="K99" s="149" t="n">
        <v>4148.63</v>
      </c>
      <c r="L99" s="149" t="n">
        <f aca="false">M99+N99</f>
        <v>4148.63</v>
      </c>
      <c r="M99" s="149" t="n">
        <v>4148.63</v>
      </c>
      <c r="N99" s="190"/>
      <c r="O99" s="151" t="n">
        <v>5</v>
      </c>
      <c r="P99" s="149" t="n">
        <v>8651.42</v>
      </c>
      <c r="Q99" s="149" t="n">
        <f aca="false">R99+S99</f>
        <v>8651.42</v>
      </c>
      <c r="R99" s="149" t="n">
        <v>8651.42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80" t="s">
        <v>182</v>
      </c>
      <c r="G100" s="180" t="s">
        <v>26</v>
      </c>
      <c r="H100" s="159" t="n">
        <v>5</v>
      </c>
      <c r="I100" s="181" t="n">
        <v>1</v>
      </c>
      <c r="J100" s="181" t="n">
        <v>1</v>
      </c>
      <c r="K100" s="182" t="n">
        <v>4581.2</v>
      </c>
      <c r="L100" s="182" t="n">
        <f aca="false">M100+N100</f>
        <v>0</v>
      </c>
      <c r="M100" s="182"/>
      <c r="N100" s="167"/>
      <c r="O100" s="184" t="n">
        <v>8</v>
      </c>
      <c r="P100" s="182" t="n">
        <v>19029.6</v>
      </c>
      <c r="Q100" s="182" t="n">
        <f aca="false">R100+S100</f>
        <v>9514.8</v>
      </c>
      <c r="R100" s="182" t="n">
        <f aca="false">8986.2</f>
        <v>8986.2</v>
      </c>
      <c r="S100" s="167" t="n">
        <v>528.6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false" outlineLevel="0" collapsed="false">
      <c r="A101" s="17"/>
      <c r="B101" s="18"/>
      <c r="C101" s="18"/>
      <c r="D101" s="18"/>
      <c r="E101" s="18"/>
      <c r="F101" s="85" t="s">
        <v>237</v>
      </c>
      <c r="G101" s="185" t="s">
        <v>23</v>
      </c>
      <c r="H101" s="186" t="n">
        <v>2</v>
      </c>
      <c r="I101" s="154" t="n">
        <v>2</v>
      </c>
      <c r="J101" s="154" t="n">
        <v>2</v>
      </c>
      <c r="K101" s="155" t="n">
        <v>9338.6</v>
      </c>
      <c r="L101" s="155" t="n">
        <v>1585.8</v>
      </c>
      <c r="M101" s="155" t="n">
        <v>1585.8</v>
      </c>
      <c r="N101" s="156" t="n">
        <v>3347.8</v>
      </c>
      <c r="O101" s="157" t="n">
        <v>4</v>
      </c>
      <c r="P101" s="155" t="n">
        <v>8281.4</v>
      </c>
      <c r="Q101" s="155" t="n">
        <v>7752.8</v>
      </c>
      <c r="R101" s="155" t="n">
        <v>7752.8</v>
      </c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" hidden="false" customHeight="true" outlineLevel="0" collapsed="false">
      <c r="A102" s="33"/>
      <c r="B102" s="34" t="s">
        <v>79</v>
      </c>
      <c r="C102" s="35" t="s">
        <v>20</v>
      </c>
      <c r="D102" s="35"/>
      <c r="E102" s="35" t="s">
        <v>52</v>
      </c>
      <c r="F102" s="38"/>
      <c r="G102" s="146" t="s">
        <v>22</v>
      </c>
      <c r="H102" s="159" t="n">
        <v>4</v>
      </c>
      <c r="I102" s="160" t="n">
        <v>2</v>
      </c>
      <c r="J102" s="160" t="n">
        <v>3</v>
      </c>
      <c r="K102" s="161" t="n">
        <v>5452.69</v>
      </c>
      <c r="L102" s="161" t="n">
        <f aca="false">M102+N102</f>
        <v>5452.69</v>
      </c>
      <c r="M102" s="161" t="n">
        <v>5452.69</v>
      </c>
      <c r="N102" s="190"/>
      <c r="O102" s="163" t="n">
        <v>8</v>
      </c>
      <c r="P102" s="161" t="n">
        <v>29377.91</v>
      </c>
      <c r="Q102" s="161" t="n">
        <f aca="false">R102+S102</f>
        <v>23178.94</v>
      </c>
      <c r="R102" s="161" t="n">
        <v>23178.94</v>
      </c>
      <c r="S102" s="19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33"/>
      <c r="B103" s="34"/>
      <c r="C103" s="34"/>
      <c r="D103" s="34"/>
      <c r="E103" s="34"/>
      <c r="F103" s="42"/>
      <c r="G103" s="164" t="s">
        <v>26</v>
      </c>
      <c r="H103" s="153"/>
      <c r="I103" s="165"/>
      <c r="J103" s="165"/>
      <c r="K103" s="166"/>
      <c r="L103" s="166" t="n">
        <f aca="false">M103+N103</f>
        <v>0</v>
      </c>
      <c r="M103" s="166"/>
      <c r="N103" s="156"/>
      <c r="O103" s="168"/>
      <c r="P103" s="166"/>
      <c r="Q103" s="166" t="n">
        <f aca="false">R103+S103</f>
        <v>0</v>
      </c>
      <c r="R103" s="166"/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72"/>
      <c r="B104" s="73" t="s">
        <v>80</v>
      </c>
      <c r="C104" s="74" t="s">
        <v>20</v>
      </c>
      <c r="D104" s="74"/>
      <c r="E104" s="74" t="s">
        <v>81</v>
      </c>
      <c r="F104" s="20"/>
      <c r="G104" s="146" t="s">
        <v>22</v>
      </c>
      <c r="H104" s="159" t="n">
        <v>5</v>
      </c>
      <c r="I104" s="148" t="n">
        <v>3</v>
      </c>
      <c r="J104" s="148" t="n">
        <v>3</v>
      </c>
      <c r="K104" s="149" t="n">
        <v>5612.43</v>
      </c>
      <c r="L104" s="149" t="n">
        <f aca="false">M104+N104</f>
        <v>4345.8</v>
      </c>
      <c r="M104" s="149" t="n">
        <v>3473.61</v>
      </c>
      <c r="N104" s="190" t="n">
        <v>872.19</v>
      </c>
      <c r="O104" s="151"/>
      <c r="P104" s="149"/>
      <c r="Q104" s="149" t="n">
        <f aca="false">R104+S104</f>
        <v>0</v>
      </c>
      <c r="R104" s="149"/>
      <c r="S104" s="19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72"/>
      <c r="B105" s="73"/>
      <c r="C105" s="73"/>
      <c r="D105" s="73"/>
      <c r="E105" s="73"/>
      <c r="F105" s="42" t="s">
        <v>183</v>
      </c>
      <c r="G105" s="164" t="s">
        <v>26</v>
      </c>
      <c r="H105" s="153"/>
      <c r="I105" s="165"/>
      <c r="J105" s="165"/>
      <c r="K105" s="166"/>
      <c r="L105" s="166" t="n">
        <f aca="false">M105+N105</f>
        <v>0</v>
      </c>
      <c r="M105" s="166"/>
      <c r="N105" s="156"/>
      <c r="O105" s="168"/>
      <c r="P105" s="166"/>
      <c r="Q105" s="166" t="n">
        <f aca="false">R105+S105</f>
        <v>0</v>
      </c>
      <c r="R105" s="166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17"/>
      <c r="B106" s="18" t="s">
        <v>82</v>
      </c>
      <c r="C106" s="19" t="s">
        <v>20</v>
      </c>
      <c r="D106" s="19" t="s">
        <v>184</v>
      </c>
      <c r="E106" s="19" t="s">
        <v>25</v>
      </c>
      <c r="F106" s="22"/>
      <c r="G106" s="146" t="s">
        <v>22</v>
      </c>
      <c r="H106" s="159" t="n">
        <v>19</v>
      </c>
      <c r="I106" s="148" t="n">
        <v>17</v>
      </c>
      <c r="J106" s="148" t="n">
        <v>17</v>
      </c>
      <c r="K106" s="149" t="n">
        <v>12611.29</v>
      </c>
      <c r="L106" s="149" t="n">
        <f aca="false">M106+N106</f>
        <v>15002.32</v>
      </c>
      <c r="M106" s="149" t="n">
        <v>12611.29</v>
      </c>
      <c r="N106" s="190" t="n">
        <v>2391.03</v>
      </c>
      <c r="O106" s="151" t="n">
        <v>2</v>
      </c>
      <c r="P106" s="149" t="n">
        <v>8372.97</v>
      </c>
      <c r="Q106" s="149" t="n">
        <f aca="false">R106+S106</f>
        <v>8372.97</v>
      </c>
      <c r="R106" s="149" t="n">
        <v>8372.97</v>
      </c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42" t="s">
        <v>185</v>
      </c>
      <c r="G107" s="164" t="s">
        <v>26</v>
      </c>
      <c r="H107" s="175" t="n">
        <v>3</v>
      </c>
      <c r="I107" s="165" t="n">
        <v>2</v>
      </c>
      <c r="J107" s="165" t="n">
        <v>2</v>
      </c>
      <c r="K107" s="166" t="n">
        <v>6519.4</v>
      </c>
      <c r="L107" s="166" t="n">
        <f aca="false">M107+N107</f>
        <v>0</v>
      </c>
      <c r="M107" s="166"/>
      <c r="N107" s="156"/>
      <c r="O107" s="168" t="n">
        <v>2</v>
      </c>
      <c r="P107" s="166" t="n">
        <v>3171.6</v>
      </c>
      <c r="Q107" s="166" t="n">
        <f aca="false">R107+S107</f>
        <v>2643</v>
      </c>
      <c r="R107" s="166" t="n">
        <f aca="false">2643</f>
        <v>2643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232"/>
      <c r="B108" s="233" t="s">
        <v>254</v>
      </c>
      <c r="C108" s="19" t="s">
        <v>20</v>
      </c>
      <c r="D108" s="19"/>
      <c r="E108" s="19" t="s">
        <v>25</v>
      </c>
      <c r="F108" s="20"/>
      <c r="G108" s="146" t="s">
        <v>22</v>
      </c>
      <c r="H108" s="173"/>
      <c r="I108" s="148"/>
      <c r="J108" s="148"/>
      <c r="K108" s="149"/>
      <c r="L108" s="149"/>
      <c r="M108" s="149"/>
      <c r="N108" s="190"/>
      <c r="O108" s="206"/>
      <c r="P108" s="149"/>
      <c r="Q108" s="149"/>
      <c r="R108" s="149"/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" hidden="false" customHeight="false" outlineLevel="0" collapsed="false">
      <c r="A109" s="232"/>
      <c r="B109" s="233"/>
      <c r="C109" s="19"/>
      <c r="D109" s="19"/>
      <c r="E109" s="19"/>
      <c r="F109" s="26" t="s">
        <v>271</v>
      </c>
      <c r="G109" s="152" t="s">
        <v>26</v>
      </c>
      <c r="H109" s="174" t="n">
        <v>4</v>
      </c>
      <c r="I109" s="154"/>
      <c r="J109" s="154"/>
      <c r="K109" s="155"/>
      <c r="L109" s="155"/>
      <c r="M109" s="155"/>
      <c r="N109" s="156"/>
      <c r="O109" s="209"/>
      <c r="P109" s="155"/>
      <c r="Q109" s="155"/>
      <c r="R109" s="155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54"/>
      <c r="B110" s="55" t="s">
        <v>83</v>
      </c>
      <c r="C110" s="56" t="s">
        <v>20</v>
      </c>
      <c r="D110" s="56"/>
      <c r="E110" s="56" t="s">
        <v>25</v>
      </c>
      <c r="F110" s="36"/>
      <c r="G110" s="158" t="s">
        <v>22</v>
      </c>
      <c r="H110" s="159" t="n">
        <v>10</v>
      </c>
      <c r="I110" s="160" t="n">
        <v>7</v>
      </c>
      <c r="J110" s="160" t="n">
        <v>7</v>
      </c>
      <c r="K110" s="161" t="n">
        <v>6281.55</v>
      </c>
      <c r="L110" s="161" t="n">
        <f aca="false">M110+N110</f>
        <v>6281.55</v>
      </c>
      <c r="M110" s="161" t="n">
        <v>6281.55</v>
      </c>
      <c r="N110" s="190"/>
      <c r="O110" s="163" t="n">
        <v>3</v>
      </c>
      <c r="P110" s="161" t="n">
        <v>10585.46</v>
      </c>
      <c r="Q110" s="161" t="n">
        <f aca="false">R110+S110</f>
        <v>10585.46</v>
      </c>
      <c r="R110" s="161" t="n">
        <v>5828.06</v>
      </c>
      <c r="S110" s="190" t="n">
        <v>4757.4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54"/>
      <c r="B111" s="55"/>
      <c r="C111" s="55"/>
      <c r="D111" s="55"/>
      <c r="E111" s="55"/>
      <c r="F111" s="26" t="s">
        <v>186</v>
      </c>
      <c r="G111" s="152" t="s">
        <v>26</v>
      </c>
      <c r="H111" s="153" t="n">
        <v>4</v>
      </c>
      <c r="I111" s="154"/>
      <c r="J111" s="154"/>
      <c r="K111" s="155"/>
      <c r="L111" s="155" t="n">
        <f aca="false">M111+N111</f>
        <v>0</v>
      </c>
      <c r="M111" s="155"/>
      <c r="N111" s="156"/>
      <c r="O111" s="157" t="n">
        <v>4</v>
      </c>
      <c r="P111" s="155" t="n">
        <v>11805.4</v>
      </c>
      <c r="Q111" s="155" t="n">
        <f aca="false">R111+S111</f>
        <v>0</v>
      </c>
      <c r="R111" s="155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33"/>
      <c r="B112" s="34" t="s">
        <v>84</v>
      </c>
      <c r="C112" s="35" t="s">
        <v>20</v>
      </c>
      <c r="D112" s="35"/>
      <c r="E112" s="35" t="s">
        <v>52</v>
      </c>
      <c r="F112" s="36"/>
      <c r="G112" s="146" t="s">
        <v>22</v>
      </c>
      <c r="H112" s="159" t="n">
        <v>22</v>
      </c>
      <c r="I112" s="160" t="n">
        <v>8</v>
      </c>
      <c r="J112" s="160" t="n">
        <v>10</v>
      </c>
      <c r="K112" s="161" t="n">
        <v>15942.05</v>
      </c>
      <c r="L112" s="161" t="n">
        <f aca="false">M112+N112</f>
        <v>12299.99</v>
      </c>
      <c r="M112" s="161" t="n">
        <v>12299.99</v>
      </c>
      <c r="N112" s="190"/>
      <c r="O112" s="163" t="n">
        <v>20</v>
      </c>
      <c r="P112" s="161" t="n">
        <v>33342.82</v>
      </c>
      <c r="Q112" s="161" t="n">
        <f aca="false">R112+S112</f>
        <v>32814.22</v>
      </c>
      <c r="R112" s="161" t="n">
        <v>32814.22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33"/>
      <c r="B113" s="34"/>
      <c r="C113" s="34"/>
      <c r="D113" s="34"/>
      <c r="E113" s="34"/>
      <c r="F113" s="71"/>
      <c r="G113" s="164" t="s">
        <v>26</v>
      </c>
      <c r="H113" s="153"/>
      <c r="I113" s="165"/>
      <c r="J113" s="165"/>
      <c r="K113" s="166"/>
      <c r="L113" s="166" t="n">
        <f aca="false">M113+N113</f>
        <v>0</v>
      </c>
      <c r="M113" s="166"/>
      <c r="N113" s="156"/>
      <c r="O113" s="168"/>
      <c r="P113" s="166"/>
      <c r="Q113" s="166" t="n">
        <f aca="false">R113+S113</f>
        <v>0</v>
      </c>
      <c r="R113" s="166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85</v>
      </c>
      <c r="C114" s="19" t="s">
        <v>20</v>
      </c>
      <c r="D114" s="19"/>
      <c r="E114" s="19" t="s">
        <v>25</v>
      </c>
      <c r="F114" s="87"/>
      <c r="G114" s="146" t="s">
        <v>22</v>
      </c>
      <c r="H114" s="169" t="n">
        <v>2</v>
      </c>
      <c r="I114" s="148" t="n">
        <v>1</v>
      </c>
      <c r="J114" s="148" t="n">
        <v>1</v>
      </c>
      <c r="K114" s="149" t="n">
        <v>528.6</v>
      </c>
      <c r="L114" s="149" t="n">
        <f aca="false">M114+N114</f>
        <v>528.6</v>
      </c>
      <c r="M114" s="149" t="n">
        <v>528.6</v>
      </c>
      <c r="N114" s="190"/>
      <c r="O114" s="151" t="n">
        <v>1</v>
      </c>
      <c r="P114" s="149" t="n">
        <v>1162.92</v>
      </c>
      <c r="Q114" s="149" t="n">
        <f aca="false">R114+S114</f>
        <v>1162.92</v>
      </c>
      <c r="R114" s="149" t="n">
        <v>1162.92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88"/>
      <c r="G115" s="152" t="s">
        <v>26</v>
      </c>
      <c r="H115" s="153"/>
      <c r="I115" s="154"/>
      <c r="J115" s="154"/>
      <c r="K115" s="155"/>
      <c r="L115" s="155" t="n">
        <f aca="false">M115+N115</f>
        <v>0</v>
      </c>
      <c r="M115" s="155"/>
      <c r="N115" s="156"/>
      <c r="O115" s="157"/>
      <c r="P115" s="155"/>
      <c r="Q115" s="155" t="n">
        <f aca="false">R115+S115</f>
        <v>0</v>
      </c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.75" hidden="false" customHeight="true" outlineLevel="0" collapsed="false">
      <c r="A116" s="17"/>
      <c r="B116" s="73" t="s">
        <v>86</v>
      </c>
      <c r="C116" s="74" t="s">
        <v>33</v>
      </c>
      <c r="D116" s="74" t="s">
        <v>87</v>
      </c>
      <c r="E116" s="74" t="s">
        <v>88</v>
      </c>
      <c r="F116" s="20"/>
      <c r="G116" s="146" t="s">
        <v>22</v>
      </c>
      <c r="H116" s="169" t="n">
        <v>17</v>
      </c>
      <c r="I116" s="148" t="n">
        <v>12</v>
      </c>
      <c r="J116" s="148" t="n">
        <v>14</v>
      </c>
      <c r="K116" s="149" t="n">
        <v>15787.05</v>
      </c>
      <c r="L116" s="149" t="n">
        <f aca="false">M116+N116</f>
        <v>11020.18</v>
      </c>
      <c r="M116" s="149" t="n">
        <v>11020.18</v>
      </c>
      <c r="N116" s="190"/>
      <c r="O116" s="151" t="n">
        <v>15</v>
      </c>
      <c r="P116" s="149" t="n">
        <v>19146</v>
      </c>
      <c r="Q116" s="149" t="n">
        <f aca="false">R116+S116</f>
        <v>12627.56</v>
      </c>
      <c r="R116" s="149" t="n">
        <v>12627.56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73"/>
      <c r="C117" s="73"/>
      <c r="D117" s="73"/>
      <c r="E117" s="73"/>
      <c r="F117" s="42" t="s">
        <v>238</v>
      </c>
      <c r="G117" s="164" t="s">
        <v>23</v>
      </c>
      <c r="H117" s="171" t="n">
        <v>18</v>
      </c>
      <c r="I117" s="165" t="n">
        <v>7</v>
      </c>
      <c r="J117" s="165" t="n">
        <v>7</v>
      </c>
      <c r="K117" s="166" t="n">
        <v>8457.6</v>
      </c>
      <c r="L117" s="166" t="n">
        <v>5990.8</v>
      </c>
      <c r="M117" s="166" t="n">
        <v>5990.8</v>
      </c>
      <c r="N117" s="156"/>
      <c r="O117" s="168" t="n">
        <v>10</v>
      </c>
      <c r="P117" s="166" t="n">
        <v>27222.9</v>
      </c>
      <c r="Q117" s="166" t="n">
        <v>20527.3</v>
      </c>
      <c r="R117" s="166" t="n">
        <v>20527.3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17"/>
      <c r="B118" s="18" t="s">
        <v>89</v>
      </c>
      <c r="C118" s="19" t="s">
        <v>20</v>
      </c>
      <c r="D118" s="19" t="s">
        <v>90</v>
      </c>
      <c r="E118" s="19" t="s">
        <v>42</v>
      </c>
      <c r="F118" s="20"/>
      <c r="G118" s="146" t="s">
        <v>22</v>
      </c>
      <c r="H118" s="159" t="n">
        <v>17</v>
      </c>
      <c r="I118" s="148" t="n">
        <v>5</v>
      </c>
      <c r="J118" s="148" t="n">
        <v>5</v>
      </c>
      <c r="K118" s="149" t="n">
        <v>17842.41</v>
      </c>
      <c r="L118" s="149" t="n">
        <f aca="false">M118+N118</f>
        <v>17842.41</v>
      </c>
      <c r="M118" s="149" t="n">
        <v>8527.08</v>
      </c>
      <c r="N118" s="190" t="n">
        <v>9315.33</v>
      </c>
      <c r="O118" s="151" t="n">
        <v>14</v>
      </c>
      <c r="P118" s="149" t="n">
        <v>48557.24</v>
      </c>
      <c r="Q118" s="149" t="n">
        <f aca="false">R118+S118</f>
        <v>51532.2</v>
      </c>
      <c r="R118" s="149" t="n">
        <v>31237.61</v>
      </c>
      <c r="S118" s="190" t="n">
        <v>20294.59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26" t="s">
        <v>239</v>
      </c>
      <c r="G119" s="152" t="s">
        <v>23</v>
      </c>
      <c r="H119" s="153"/>
      <c r="I119" s="154"/>
      <c r="J119" s="154"/>
      <c r="K119" s="155"/>
      <c r="L119" s="155" t="n">
        <f aca="false">M119+N119</f>
        <v>0</v>
      </c>
      <c r="M119" s="155"/>
      <c r="N119" s="156"/>
      <c r="O119" s="157"/>
      <c r="P119" s="155"/>
      <c r="Q119" s="155" t="n">
        <f aca="false">R119+S119</f>
        <v>0</v>
      </c>
      <c r="R119" s="155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33"/>
      <c r="B120" s="34" t="s">
        <v>91</v>
      </c>
      <c r="C120" s="35" t="s">
        <v>33</v>
      </c>
      <c r="D120" s="35" t="s">
        <v>92</v>
      </c>
      <c r="E120" s="35" t="s">
        <v>25</v>
      </c>
      <c r="F120" s="38" t="s">
        <v>239</v>
      </c>
      <c r="G120" s="146" t="s">
        <v>22</v>
      </c>
      <c r="H120" s="159" t="n">
        <v>17</v>
      </c>
      <c r="I120" s="160" t="n">
        <v>5</v>
      </c>
      <c r="J120" s="160" t="n">
        <v>5</v>
      </c>
      <c r="K120" s="161" t="n">
        <v>11259.18</v>
      </c>
      <c r="L120" s="161" t="n">
        <f aca="false">M120+N120</f>
        <v>4915.98</v>
      </c>
      <c r="M120" s="161" t="n">
        <v>4915.98</v>
      </c>
      <c r="N120" s="190"/>
      <c r="O120" s="163" t="n">
        <v>9</v>
      </c>
      <c r="P120" s="161" t="n">
        <v>59549.41</v>
      </c>
      <c r="Q120" s="161" t="n">
        <f aca="false">R120+S120</f>
        <v>55873.9</v>
      </c>
      <c r="R120" s="161" t="n">
        <v>55873.9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89"/>
      <c r="G121" s="187" t="s">
        <v>23</v>
      </c>
      <c r="H121" s="169"/>
      <c r="I121" s="188"/>
      <c r="J121" s="188"/>
      <c r="K121" s="189"/>
      <c r="L121" s="189" t="n">
        <f aca="false">M121+N121</f>
        <v>0</v>
      </c>
      <c r="M121" s="189"/>
      <c r="N121" s="167"/>
      <c r="O121" s="191"/>
      <c r="P121" s="189"/>
      <c r="Q121" s="189" t="n">
        <f aca="false">R121+S121</f>
        <v>0</v>
      </c>
      <c r="R121" s="189"/>
      <c r="S121" s="167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33"/>
      <c r="B122" s="34"/>
      <c r="C122" s="34"/>
      <c r="D122" s="34"/>
      <c r="E122" s="34"/>
      <c r="F122" s="42" t="s">
        <v>187</v>
      </c>
      <c r="G122" s="164" t="s">
        <v>26</v>
      </c>
      <c r="H122" s="171" t="n">
        <v>5</v>
      </c>
      <c r="I122" s="165" t="n">
        <v>1</v>
      </c>
      <c r="J122" s="165" t="n">
        <v>2</v>
      </c>
      <c r="K122" s="166" t="n">
        <v>4193.56</v>
      </c>
      <c r="L122" s="166" t="n">
        <f aca="false">M122+N122</f>
        <v>2290.6</v>
      </c>
      <c r="M122" s="166" t="n">
        <f aca="false">2266.65+23.95</f>
        <v>2290.6</v>
      </c>
      <c r="N122" s="156"/>
      <c r="O122" s="168" t="n">
        <v>7</v>
      </c>
      <c r="P122" s="166" t="n">
        <v>29143.12</v>
      </c>
      <c r="Q122" s="166" t="n">
        <f aca="false">R122+S122</f>
        <v>29143.48</v>
      </c>
      <c r="R122" s="166" t="n">
        <f aca="false">29167.43-47.9+23.95</f>
        <v>29143.48</v>
      </c>
      <c r="S122" s="156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 t="s">
        <v>93</v>
      </c>
      <c r="C123" s="19" t="s">
        <v>20</v>
      </c>
      <c r="D123" s="49"/>
      <c r="E123" s="19" t="s">
        <v>50</v>
      </c>
      <c r="F123" s="87"/>
      <c r="G123" s="146" t="s">
        <v>22</v>
      </c>
      <c r="H123" s="169" t="n">
        <v>6</v>
      </c>
      <c r="I123" s="148"/>
      <c r="J123" s="148"/>
      <c r="K123" s="149"/>
      <c r="L123" s="149" t="n">
        <f aca="false">M123+N123</f>
        <v>0</v>
      </c>
      <c r="M123" s="149"/>
      <c r="N123" s="190"/>
      <c r="O123" s="151"/>
      <c r="P123" s="149"/>
      <c r="Q123" s="149" t="n">
        <f aca="false">R123+S123</f>
        <v>0</v>
      </c>
      <c r="R123" s="149"/>
      <c r="S123" s="190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17"/>
      <c r="B124" s="18"/>
      <c r="C124" s="18"/>
      <c r="D124" s="18"/>
      <c r="E124" s="18"/>
      <c r="F124" s="88" t="s">
        <v>188</v>
      </c>
      <c r="G124" s="152" t="s">
        <v>26</v>
      </c>
      <c r="H124" s="171" t="n">
        <v>6</v>
      </c>
      <c r="I124" s="154"/>
      <c r="J124" s="154"/>
      <c r="K124" s="155"/>
      <c r="L124" s="155" t="n">
        <f aca="false">M124+N124</f>
        <v>0</v>
      </c>
      <c r="M124" s="155"/>
      <c r="N124" s="156"/>
      <c r="O124" s="157"/>
      <c r="P124" s="155"/>
      <c r="Q124" s="155" t="n">
        <f aca="false">R124+S124</f>
        <v>0</v>
      </c>
      <c r="R124" s="155"/>
      <c r="S124" s="156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" hidden="false" customHeight="true" outlineLevel="0" collapsed="false">
      <c r="A125" s="54"/>
      <c r="B125" s="55" t="s">
        <v>94</v>
      </c>
      <c r="C125" s="56" t="s">
        <v>20</v>
      </c>
      <c r="D125" s="56"/>
      <c r="E125" s="56" t="s">
        <v>52</v>
      </c>
      <c r="F125" s="36"/>
      <c r="G125" s="158" t="s">
        <v>22</v>
      </c>
      <c r="H125" s="159" t="n">
        <v>7</v>
      </c>
      <c r="I125" s="160" t="n">
        <v>5</v>
      </c>
      <c r="J125" s="160" t="n">
        <v>6</v>
      </c>
      <c r="K125" s="161" t="n">
        <v>5246.27</v>
      </c>
      <c r="L125" s="161" t="n">
        <f aca="false">M125+N125</f>
        <v>2133.78</v>
      </c>
      <c r="M125" s="161" t="n">
        <v>2133.78</v>
      </c>
      <c r="N125" s="190"/>
      <c r="O125" s="163" t="n">
        <v>8</v>
      </c>
      <c r="P125" s="161" t="n">
        <v>22461.42</v>
      </c>
      <c r="Q125" s="161" t="n">
        <f aca="false">R125+S125</f>
        <v>17787.53</v>
      </c>
      <c r="R125" s="161" t="n">
        <v>17787.53</v>
      </c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54"/>
      <c r="B126" s="55"/>
      <c r="C126" s="55"/>
      <c r="D126" s="55"/>
      <c r="E126" s="55"/>
      <c r="F126" s="42" t="s">
        <v>189</v>
      </c>
      <c r="G126" s="164" t="s">
        <v>26</v>
      </c>
      <c r="H126" s="171" t="n">
        <v>10</v>
      </c>
      <c r="I126" s="154" t="n">
        <v>1</v>
      </c>
      <c r="J126" s="154" t="n">
        <v>1</v>
      </c>
      <c r="K126" s="155" t="n">
        <v>2446.8</v>
      </c>
      <c r="L126" s="155" t="n">
        <f aca="false">M126+N126</f>
        <v>0</v>
      </c>
      <c r="M126" s="155"/>
      <c r="N126" s="156"/>
      <c r="O126" s="157" t="n">
        <v>5</v>
      </c>
      <c r="P126" s="155" t="n">
        <v>6871.8</v>
      </c>
      <c r="Q126" s="155" t="n">
        <f aca="false">R126+S126</f>
        <v>1585.8</v>
      </c>
      <c r="R126" s="155" t="n">
        <v>1585.8</v>
      </c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 t="s">
        <v>95</v>
      </c>
      <c r="C127" s="35" t="s">
        <v>33</v>
      </c>
      <c r="D127" s="35" t="s">
        <v>96</v>
      </c>
      <c r="E127" s="35" t="s">
        <v>88</v>
      </c>
      <c r="F127" s="22"/>
      <c r="G127" s="146" t="s">
        <v>22</v>
      </c>
      <c r="H127" s="159" t="n">
        <v>14</v>
      </c>
      <c r="I127" s="160" t="n">
        <v>8</v>
      </c>
      <c r="J127" s="192" t="n">
        <v>8</v>
      </c>
      <c r="K127" s="161" t="n">
        <v>11316.44</v>
      </c>
      <c r="L127" s="161" t="n">
        <f aca="false">M127+N127</f>
        <v>11316.44</v>
      </c>
      <c r="M127" s="161" t="n">
        <v>11316.44</v>
      </c>
      <c r="N127" s="190"/>
      <c r="O127" s="163"/>
      <c r="P127" s="161"/>
      <c r="Q127" s="161" t="n">
        <f aca="false">R127+S127</f>
        <v>0</v>
      </c>
      <c r="R127" s="161"/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240</v>
      </c>
      <c r="G128" s="164" t="s">
        <v>23</v>
      </c>
      <c r="H128" s="171" t="n">
        <v>6</v>
      </c>
      <c r="I128" s="165"/>
      <c r="J128" s="165"/>
      <c r="K128" s="166"/>
      <c r="L128" s="166" t="n">
        <f aca="false">M128+N128</f>
        <v>0</v>
      </c>
      <c r="M128" s="166"/>
      <c r="N128" s="156"/>
      <c r="O128" s="168" t="n">
        <v>1</v>
      </c>
      <c r="P128" s="166" t="n">
        <v>6167</v>
      </c>
      <c r="Q128" s="166" t="n">
        <f aca="false">R128+S128</f>
        <v>0</v>
      </c>
      <c r="R128" s="166"/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72"/>
      <c r="B129" s="73" t="s">
        <v>97</v>
      </c>
      <c r="C129" s="74" t="s">
        <v>20</v>
      </c>
      <c r="D129" s="74"/>
      <c r="E129" s="74" t="s">
        <v>98</v>
      </c>
      <c r="F129" s="20"/>
      <c r="G129" s="146" t="s">
        <v>22</v>
      </c>
      <c r="H129" s="159" t="n">
        <v>6</v>
      </c>
      <c r="I129" s="148" t="n">
        <v>2</v>
      </c>
      <c r="J129" s="148" t="n">
        <v>2</v>
      </c>
      <c r="K129" s="149" t="n">
        <v>2223.64</v>
      </c>
      <c r="L129" s="149" t="n">
        <f aca="false">M129+N129</f>
        <v>2223.64</v>
      </c>
      <c r="M129" s="149" t="n">
        <v>2223.64</v>
      </c>
      <c r="N129" s="190"/>
      <c r="O129" s="151" t="n">
        <v>6</v>
      </c>
      <c r="P129" s="149" t="n">
        <v>19174.92</v>
      </c>
      <c r="Q129" s="149" t="n">
        <f aca="false">R129+S129</f>
        <v>19174.92</v>
      </c>
      <c r="R129" s="149" t="n">
        <v>19174.92</v>
      </c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72"/>
      <c r="B130" s="73"/>
      <c r="C130" s="73"/>
      <c r="D130" s="73"/>
      <c r="E130" s="73"/>
      <c r="F130" s="42" t="s">
        <v>241</v>
      </c>
      <c r="G130" s="164" t="s">
        <v>23</v>
      </c>
      <c r="H130" s="172" t="n">
        <v>16</v>
      </c>
      <c r="I130" s="165" t="n">
        <v>12</v>
      </c>
      <c r="J130" s="165" t="n">
        <v>12</v>
      </c>
      <c r="K130" s="166" t="n">
        <v>10395.8</v>
      </c>
      <c r="L130" s="166" t="n">
        <v>2605.89</v>
      </c>
      <c r="M130" s="166" t="n">
        <v>2605.89</v>
      </c>
      <c r="N130" s="156" t="n">
        <v>565.71</v>
      </c>
      <c r="O130" s="168" t="n">
        <v>11</v>
      </c>
      <c r="P130" s="166" t="n">
        <v>28192</v>
      </c>
      <c r="Q130" s="166" t="n">
        <v>18677.2</v>
      </c>
      <c r="R130" s="166" t="n">
        <v>18677.2</v>
      </c>
      <c r="S130" s="156" t="n">
        <v>2643</v>
      </c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17"/>
      <c r="B131" s="18" t="s">
        <v>156</v>
      </c>
      <c r="C131" s="19"/>
      <c r="D131" s="19"/>
      <c r="E131" s="19"/>
      <c r="F131" s="20"/>
      <c r="G131" s="146" t="s">
        <v>22</v>
      </c>
      <c r="H131" s="173" t="n">
        <v>18</v>
      </c>
      <c r="I131" s="148" t="n">
        <v>6</v>
      </c>
      <c r="J131" s="148" t="n">
        <v>7</v>
      </c>
      <c r="K131" s="149" t="n">
        <v>14834.62</v>
      </c>
      <c r="L131" s="149" t="n">
        <f aca="false">M131+N131</f>
        <v>14834.62</v>
      </c>
      <c r="M131" s="149" t="n">
        <v>14834.62</v>
      </c>
      <c r="N131" s="190"/>
      <c r="O131" s="151"/>
      <c r="P131" s="149"/>
      <c r="Q131" s="149" t="n">
        <f aca="false">R131+S131</f>
        <v>0</v>
      </c>
      <c r="R131" s="149"/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17"/>
      <c r="B132" s="18"/>
      <c r="C132" s="18"/>
      <c r="D132" s="18"/>
      <c r="E132" s="18"/>
      <c r="F132" s="89" t="s">
        <v>272</v>
      </c>
      <c r="G132" s="187" t="s">
        <v>26</v>
      </c>
      <c r="H132" s="172" t="n">
        <v>10</v>
      </c>
      <c r="I132" s="188" t="n">
        <v>5</v>
      </c>
      <c r="J132" s="188" t="n">
        <v>5</v>
      </c>
      <c r="K132" s="189" t="n">
        <v>4754.4</v>
      </c>
      <c r="L132" s="189" t="n">
        <f aca="false">M132+N132</f>
        <v>1233.4</v>
      </c>
      <c r="M132" s="189" t="n">
        <f aca="false">1233.4</f>
        <v>1233.4</v>
      </c>
      <c r="N132" s="167"/>
      <c r="O132" s="191"/>
      <c r="P132" s="189"/>
      <c r="Q132" s="189" t="n">
        <f aca="false">R132+S132</f>
        <v>0</v>
      </c>
      <c r="R132" s="189"/>
      <c r="S132" s="167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/>
      <c r="C133" s="18"/>
      <c r="D133" s="18"/>
      <c r="E133" s="18"/>
      <c r="F133" s="71"/>
      <c r="G133" s="164" t="s">
        <v>23</v>
      </c>
      <c r="H133" s="177"/>
      <c r="I133" s="165"/>
      <c r="J133" s="165"/>
      <c r="K133" s="166"/>
      <c r="L133" s="166" t="n">
        <f aca="false">M133+N133</f>
        <v>0</v>
      </c>
      <c r="M133" s="166"/>
      <c r="N133" s="156"/>
      <c r="O133" s="168"/>
      <c r="P133" s="166"/>
      <c r="Q133" s="166" t="n">
        <f aca="false">R133+S133</f>
        <v>0</v>
      </c>
      <c r="R133" s="166"/>
      <c r="S133" s="156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 t="s">
        <v>190</v>
      </c>
      <c r="C134" s="19"/>
      <c r="D134" s="19"/>
      <c r="E134" s="19"/>
      <c r="F134" s="20"/>
      <c r="G134" s="146" t="s">
        <v>22</v>
      </c>
      <c r="H134" s="173" t="n">
        <v>5</v>
      </c>
      <c r="I134" s="148"/>
      <c r="J134" s="148"/>
      <c r="K134" s="149"/>
      <c r="L134" s="149" t="n">
        <f aca="false">M134+N134</f>
        <v>0</v>
      </c>
      <c r="M134" s="149"/>
      <c r="N134" s="190"/>
      <c r="O134" s="151"/>
      <c r="P134" s="149"/>
      <c r="Q134" s="149" t="n">
        <f aca="false">R134+S134</f>
        <v>0</v>
      </c>
      <c r="R134" s="149"/>
      <c r="S134" s="190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/>
      <c r="C135" s="18"/>
      <c r="D135" s="18"/>
      <c r="E135" s="18"/>
      <c r="F135" s="26" t="s">
        <v>242</v>
      </c>
      <c r="G135" s="152" t="s">
        <v>23</v>
      </c>
      <c r="H135" s="174" t="n">
        <v>2</v>
      </c>
      <c r="I135" s="154"/>
      <c r="J135" s="154"/>
      <c r="K135" s="155"/>
      <c r="L135" s="155" t="n">
        <f aca="false">M135+N135</f>
        <v>0</v>
      </c>
      <c r="M135" s="155"/>
      <c r="N135" s="156"/>
      <c r="O135" s="157"/>
      <c r="P135" s="155"/>
      <c r="Q135" s="155" t="n">
        <f aca="false">R135+S135</f>
        <v>0</v>
      </c>
      <c r="R135" s="155"/>
      <c r="S135" s="156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54"/>
      <c r="B136" s="55" t="s">
        <v>99</v>
      </c>
      <c r="C136" s="56" t="s">
        <v>33</v>
      </c>
      <c r="D136" s="56" t="s">
        <v>100</v>
      </c>
      <c r="E136" s="56" t="s">
        <v>101</v>
      </c>
      <c r="F136" s="36"/>
      <c r="G136" s="158" t="s">
        <v>22</v>
      </c>
      <c r="H136" s="159" t="n">
        <v>21</v>
      </c>
      <c r="I136" s="160" t="n">
        <v>15</v>
      </c>
      <c r="J136" s="160" t="n">
        <v>15</v>
      </c>
      <c r="K136" s="161" t="n">
        <v>4493.1</v>
      </c>
      <c r="L136" s="161" t="n">
        <f aca="false">M136+N136</f>
        <v>4493.1</v>
      </c>
      <c r="M136" s="161" t="n">
        <v>4493.1</v>
      </c>
      <c r="N136" s="190"/>
      <c r="O136" s="163" t="n">
        <v>21</v>
      </c>
      <c r="P136" s="161" t="n">
        <v>35029.01</v>
      </c>
      <c r="Q136" s="161" t="n">
        <f aca="false">R136+S136</f>
        <v>27295.59</v>
      </c>
      <c r="R136" s="161" t="n">
        <v>27295.59</v>
      </c>
      <c r="S136" s="190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54"/>
      <c r="B137" s="55"/>
      <c r="C137" s="55"/>
      <c r="D137" s="55"/>
      <c r="E137" s="55"/>
      <c r="F137" s="80" t="s">
        <v>191</v>
      </c>
      <c r="G137" s="180" t="s">
        <v>26</v>
      </c>
      <c r="H137" s="169" t="n">
        <v>9</v>
      </c>
      <c r="I137" s="181" t="n">
        <v>4</v>
      </c>
      <c r="J137" s="181" t="n">
        <v>4</v>
      </c>
      <c r="K137" s="182" t="n">
        <v>2643</v>
      </c>
      <c r="L137" s="182" t="n">
        <f aca="false">M137+N137</f>
        <v>2643</v>
      </c>
      <c r="M137" s="182" t="n">
        <f aca="false">2643</f>
        <v>2643</v>
      </c>
      <c r="N137" s="167"/>
      <c r="O137" s="184" t="n">
        <v>2</v>
      </c>
      <c r="P137" s="182" t="n">
        <v>5374.1</v>
      </c>
      <c r="Q137" s="161" t="n">
        <f aca="false">R137+S137</f>
        <v>5374.1</v>
      </c>
      <c r="R137" s="182" t="n">
        <f aca="false">1673.9+3700.2</f>
        <v>5374.1</v>
      </c>
      <c r="S137" s="167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54"/>
      <c r="B138" s="55"/>
      <c r="C138" s="55"/>
      <c r="D138" s="55"/>
      <c r="E138" s="55"/>
      <c r="F138" s="42"/>
      <c r="G138" s="164" t="s">
        <v>23</v>
      </c>
      <c r="H138" s="175"/>
      <c r="I138" s="165"/>
      <c r="J138" s="165"/>
      <c r="K138" s="166"/>
      <c r="L138" s="166" t="n">
        <f aca="false">M138+N138</f>
        <v>0</v>
      </c>
      <c r="M138" s="166"/>
      <c r="N138" s="156"/>
      <c r="O138" s="168"/>
      <c r="P138" s="166"/>
      <c r="Q138" s="166" t="n">
        <f aca="false">R138+S138</f>
        <v>0</v>
      </c>
      <c r="R138" s="166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 t="s">
        <v>224</v>
      </c>
      <c r="C139" s="19"/>
      <c r="D139" s="19"/>
      <c r="E139" s="19"/>
      <c r="F139" s="20"/>
      <c r="G139" s="146" t="s">
        <v>22</v>
      </c>
      <c r="H139" s="147" t="n">
        <v>3</v>
      </c>
      <c r="I139" s="148" t="n">
        <v>2</v>
      </c>
      <c r="J139" s="148" t="n">
        <v>3</v>
      </c>
      <c r="K139" s="149" t="n">
        <v>3968.46</v>
      </c>
      <c r="L139" s="149" t="n">
        <f aca="false">M139+N139</f>
        <v>3968.46</v>
      </c>
      <c r="M139" s="149" t="n">
        <v>3968.46</v>
      </c>
      <c r="N139" s="190"/>
      <c r="O139" s="151"/>
      <c r="P139" s="149"/>
      <c r="Q139" s="149" t="n">
        <f aca="false">R139+S139</f>
        <v>0</v>
      </c>
      <c r="R139" s="149"/>
      <c r="S139" s="190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/>
      <c r="C140" s="18"/>
      <c r="D140" s="18"/>
      <c r="E140" s="18"/>
      <c r="F140" s="26" t="s">
        <v>273</v>
      </c>
      <c r="G140" s="152" t="s">
        <v>26</v>
      </c>
      <c r="H140" s="176" t="n">
        <v>4</v>
      </c>
      <c r="I140" s="154"/>
      <c r="J140" s="154"/>
      <c r="K140" s="155"/>
      <c r="L140" s="155" t="n">
        <f aca="false">M140+N140</f>
        <v>0</v>
      </c>
      <c r="M140" s="155"/>
      <c r="N140" s="156"/>
      <c r="O140" s="157"/>
      <c r="P140" s="155"/>
      <c r="Q140" s="155" t="n">
        <f aca="false">R140+S140</f>
        <v>0</v>
      </c>
      <c r="R140" s="155"/>
      <c r="S140" s="156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33"/>
      <c r="B141" s="34" t="s">
        <v>102</v>
      </c>
      <c r="C141" s="35" t="s">
        <v>20</v>
      </c>
      <c r="D141" s="35"/>
      <c r="E141" s="35" t="s">
        <v>25</v>
      </c>
      <c r="F141" s="36"/>
      <c r="G141" s="158" t="s">
        <v>22</v>
      </c>
      <c r="H141" s="169" t="n">
        <v>13</v>
      </c>
      <c r="I141" s="160" t="n">
        <v>11</v>
      </c>
      <c r="J141" s="160" t="n">
        <v>11</v>
      </c>
      <c r="K141" s="161" t="n">
        <v>14377.92</v>
      </c>
      <c r="L141" s="161" t="n">
        <f aca="false">M141+N141</f>
        <v>14377.92</v>
      </c>
      <c r="M141" s="161" t="n">
        <v>14377.92</v>
      </c>
      <c r="N141" s="190"/>
      <c r="O141" s="163" t="n">
        <v>6</v>
      </c>
      <c r="P141" s="161" t="n">
        <v>20530.3</v>
      </c>
      <c r="Q141" s="161" t="n">
        <f aca="false">R141+S141</f>
        <v>20530.3</v>
      </c>
      <c r="R141" s="161" t="n">
        <v>20530.3</v>
      </c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33"/>
      <c r="B142" s="34"/>
      <c r="C142" s="34"/>
      <c r="D142" s="34"/>
      <c r="E142" s="34"/>
      <c r="F142" s="42" t="s">
        <v>192</v>
      </c>
      <c r="G142" s="164" t="s">
        <v>26</v>
      </c>
      <c r="H142" s="153" t="n">
        <v>5</v>
      </c>
      <c r="I142" s="165" t="n">
        <v>2</v>
      </c>
      <c r="J142" s="165" t="n">
        <v>2</v>
      </c>
      <c r="K142" s="166" t="n">
        <v>7400.4</v>
      </c>
      <c r="L142" s="166" t="n">
        <f aca="false">M142+N142</f>
        <v>3700.2</v>
      </c>
      <c r="M142" s="166" t="n">
        <f aca="false">3700.2</f>
        <v>3700.2</v>
      </c>
      <c r="N142" s="156"/>
      <c r="O142" s="168" t="n">
        <v>3</v>
      </c>
      <c r="P142" s="166" t="n">
        <v>5286</v>
      </c>
      <c r="Q142" s="166" t="n">
        <f aca="false">R142+S142</f>
        <v>6519.4</v>
      </c>
      <c r="R142" s="166" t="n">
        <f aca="false">6519.4</f>
        <v>6519.4</v>
      </c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17"/>
      <c r="B143" s="18" t="s">
        <v>103</v>
      </c>
      <c r="C143" s="19" t="s">
        <v>20</v>
      </c>
      <c r="D143" s="19"/>
      <c r="E143" s="19" t="s">
        <v>52</v>
      </c>
      <c r="F143" s="20"/>
      <c r="G143" s="146" t="s">
        <v>22</v>
      </c>
      <c r="H143" s="169" t="n">
        <v>2</v>
      </c>
      <c r="I143" s="148" t="n">
        <v>1</v>
      </c>
      <c r="J143" s="148" t="n">
        <v>1</v>
      </c>
      <c r="K143" s="149" t="n">
        <v>1082.63</v>
      </c>
      <c r="L143" s="149" t="n">
        <f aca="false">M143+N143</f>
        <v>1082.63</v>
      </c>
      <c r="M143" s="149" t="n">
        <v>1082.63</v>
      </c>
      <c r="N143" s="190"/>
      <c r="O143" s="151" t="n">
        <v>5</v>
      </c>
      <c r="P143" s="149" t="n">
        <v>20672.92</v>
      </c>
      <c r="Q143" s="149" t="n">
        <f aca="false">R143+S143</f>
        <v>19139.98</v>
      </c>
      <c r="R143" s="149" t="n">
        <v>19139.98</v>
      </c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17"/>
      <c r="B144" s="18"/>
      <c r="C144" s="18"/>
      <c r="D144" s="18"/>
      <c r="E144" s="18"/>
      <c r="F144" s="26" t="s">
        <v>193</v>
      </c>
      <c r="G144" s="152" t="s">
        <v>26</v>
      </c>
      <c r="H144" s="171" t="n">
        <v>10</v>
      </c>
      <c r="I144" s="154"/>
      <c r="J144" s="154"/>
      <c r="K144" s="155"/>
      <c r="L144" s="155" t="n">
        <f aca="false">M144+N144</f>
        <v>0</v>
      </c>
      <c r="M144" s="155"/>
      <c r="N144" s="156"/>
      <c r="O144" s="157" t="n">
        <v>4</v>
      </c>
      <c r="P144" s="155" t="n">
        <v>10925</v>
      </c>
      <c r="Q144" s="155" t="n">
        <f aca="false">R144+S144</f>
        <v>9867.04</v>
      </c>
      <c r="R144" s="155" t="n">
        <f aca="false">2290.6</f>
        <v>2290.6</v>
      </c>
      <c r="S144" s="156" t="n">
        <v>7576.44</v>
      </c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" hidden="false" customHeight="true" outlineLevel="0" collapsed="false">
      <c r="A145" s="54"/>
      <c r="B145" s="55" t="s">
        <v>104</v>
      </c>
      <c r="C145" s="56" t="s">
        <v>20</v>
      </c>
      <c r="D145" s="56"/>
      <c r="E145" s="56" t="s">
        <v>25</v>
      </c>
      <c r="F145" s="22"/>
      <c r="G145" s="146" t="s">
        <v>22</v>
      </c>
      <c r="H145" s="169"/>
      <c r="I145" s="160"/>
      <c r="J145" s="160"/>
      <c r="K145" s="161"/>
      <c r="L145" s="161" t="n">
        <f aca="false">M145+N145</f>
        <v>0</v>
      </c>
      <c r="M145" s="161"/>
      <c r="N145" s="190"/>
      <c r="O145" s="163" t="n">
        <v>2</v>
      </c>
      <c r="P145" s="161" t="n">
        <v>20088.08</v>
      </c>
      <c r="Q145" s="161" t="n">
        <f aca="false">R145+S145</f>
        <v>20088.08</v>
      </c>
      <c r="R145" s="161"/>
      <c r="S145" s="190" t="n">
        <v>20088.08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54"/>
      <c r="B146" s="55"/>
      <c r="C146" s="55"/>
      <c r="D146" s="55"/>
      <c r="E146" s="55"/>
      <c r="F146" s="26" t="s">
        <v>281</v>
      </c>
      <c r="G146" s="152" t="s">
        <v>26</v>
      </c>
      <c r="H146" s="153" t="n">
        <v>2</v>
      </c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105</v>
      </c>
      <c r="C147" s="35" t="s">
        <v>33</v>
      </c>
      <c r="D147" s="35" t="s">
        <v>106</v>
      </c>
      <c r="E147" s="35" t="s">
        <v>107</v>
      </c>
      <c r="F147" s="36"/>
      <c r="G147" s="146" t="s">
        <v>22</v>
      </c>
      <c r="H147" s="169" t="n">
        <v>2</v>
      </c>
      <c r="I147" s="160"/>
      <c r="J147" s="160"/>
      <c r="K147" s="161"/>
      <c r="L147" s="161" t="n">
        <f aca="false">M147+N147</f>
        <v>0</v>
      </c>
      <c r="M147" s="161"/>
      <c r="N147" s="190"/>
      <c r="O147" s="163" t="n">
        <v>7</v>
      </c>
      <c r="P147" s="161" t="n">
        <v>18435.62</v>
      </c>
      <c r="Q147" s="161" t="n">
        <f aca="false">R147+S147</f>
        <v>18435.62</v>
      </c>
      <c r="R147" s="161" t="n">
        <v>14967.24</v>
      </c>
      <c r="S147" s="190" t="n">
        <v>3468.38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194</v>
      </c>
      <c r="G148" s="164" t="s">
        <v>26</v>
      </c>
      <c r="H148" s="153" t="n">
        <v>2</v>
      </c>
      <c r="I148" s="165"/>
      <c r="J148" s="165"/>
      <c r="K148" s="166"/>
      <c r="L148" s="161" t="n">
        <f aca="false">M148+N148</f>
        <v>0</v>
      </c>
      <c r="M148" s="166" t="n">
        <v>0</v>
      </c>
      <c r="N148" s="156"/>
      <c r="O148" s="168" t="n">
        <v>6</v>
      </c>
      <c r="P148" s="166" t="n">
        <v>23645.16</v>
      </c>
      <c r="Q148" s="166" t="n">
        <f aca="false">R148+S148</f>
        <v>5682.4</v>
      </c>
      <c r="R148" s="166" t="n">
        <f aca="false">4801.4+881</f>
        <v>5682.4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72"/>
      <c r="B149" s="73" t="s">
        <v>108</v>
      </c>
      <c r="C149" s="74" t="s">
        <v>33</v>
      </c>
      <c r="D149" s="74" t="s">
        <v>109</v>
      </c>
      <c r="E149" s="74" t="s">
        <v>25</v>
      </c>
      <c r="F149" s="20"/>
      <c r="G149" s="146" t="s">
        <v>22</v>
      </c>
      <c r="H149" s="159" t="n">
        <v>7</v>
      </c>
      <c r="I149" s="148" t="n">
        <v>5</v>
      </c>
      <c r="J149" s="148" t="n">
        <v>6</v>
      </c>
      <c r="K149" s="149" t="n">
        <v>11519.11</v>
      </c>
      <c r="L149" s="149" t="n">
        <f aca="false">M149+N149</f>
        <v>11519.11</v>
      </c>
      <c r="M149" s="149" t="n">
        <v>11519.11</v>
      </c>
      <c r="N149" s="190"/>
      <c r="O149" s="151" t="n">
        <v>18</v>
      </c>
      <c r="P149" s="149" t="n">
        <v>41995.38</v>
      </c>
      <c r="Q149" s="149" t="n">
        <f aca="false">R149+S149</f>
        <v>37928.86</v>
      </c>
      <c r="R149" s="149" t="n">
        <v>37928.86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72"/>
      <c r="B150" s="73"/>
      <c r="C150" s="73"/>
      <c r="D150" s="73"/>
      <c r="E150" s="73"/>
      <c r="F150" s="42" t="s">
        <v>195</v>
      </c>
      <c r="G150" s="164" t="s">
        <v>26</v>
      </c>
      <c r="H150" s="171" t="n">
        <v>9</v>
      </c>
      <c r="I150" s="165" t="n">
        <v>6</v>
      </c>
      <c r="J150" s="165" t="n">
        <v>6</v>
      </c>
      <c r="K150" s="166" t="n">
        <v>21743.08</v>
      </c>
      <c r="L150" s="166" t="n">
        <f aca="false">M150+N150</f>
        <v>10818.68</v>
      </c>
      <c r="M150" s="166" t="n">
        <f aca="false">6942.28</f>
        <v>6942.28</v>
      </c>
      <c r="N150" s="156" t="n">
        <f aca="false">3876.4</f>
        <v>3876.4</v>
      </c>
      <c r="O150" s="157" t="n">
        <v>11</v>
      </c>
      <c r="P150" s="155" t="n">
        <v>30218.3</v>
      </c>
      <c r="Q150" s="155" t="n">
        <f aca="false">R150+S150</f>
        <v>45706.28</v>
      </c>
      <c r="R150" s="155" t="n">
        <f aca="false">15329.4+14888.9</f>
        <v>30218.3</v>
      </c>
      <c r="S150" s="156" t="n">
        <v>15487.98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17"/>
      <c r="B151" s="18" t="s">
        <v>110</v>
      </c>
      <c r="C151" s="19" t="s">
        <v>33</v>
      </c>
      <c r="D151" s="19" t="s">
        <v>111</v>
      </c>
      <c r="E151" s="19" t="s">
        <v>25</v>
      </c>
      <c r="F151" s="20"/>
      <c r="G151" s="146" t="s">
        <v>22</v>
      </c>
      <c r="H151" s="159" t="n">
        <v>20</v>
      </c>
      <c r="I151" s="148" t="n">
        <v>15</v>
      </c>
      <c r="J151" s="193" t="n">
        <v>16</v>
      </c>
      <c r="K151" s="149" t="n">
        <v>15755.63</v>
      </c>
      <c r="L151" s="149" t="n">
        <f aca="false">M151+N151</f>
        <v>16881.73</v>
      </c>
      <c r="M151" s="149" t="n">
        <v>16881.73</v>
      </c>
      <c r="N151" s="190"/>
      <c r="O151" s="163" t="n">
        <v>13</v>
      </c>
      <c r="P151" s="161" t="n">
        <v>44245.85</v>
      </c>
      <c r="Q151" s="161" t="n">
        <f aca="false">R151+S151</f>
        <v>44245.85</v>
      </c>
      <c r="R151" s="161" t="n">
        <v>44245.85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17"/>
      <c r="B152" s="18"/>
      <c r="C152" s="18"/>
      <c r="D152" s="18"/>
      <c r="E152" s="18"/>
      <c r="F152" s="42" t="s">
        <v>196</v>
      </c>
      <c r="G152" s="164" t="s">
        <v>26</v>
      </c>
      <c r="H152" s="175" t="n">
        <v>4</v>
      </c>
      <c r="I152" s="165" t="n">
        <v>2</v>
      </c>
      <c r="J152" s="165" t="n">
        <v>1</v>
      </c>
      <c r="K152" s="166" t="n">
        <v>4405</v>
      </c>
      <c r="L152" s="166" t="n">
        <f aca="false">M152+N152</f>
        <v>0</v>
      </c>
      <c r="M152" s="166"/>
      <c r="N152" s="167"/>
      <c r="O152" s="168"/>
      <c r="P152" s="166"/>
      <c r="Q152" s="166" t="n">
        <f aca="false">R152+S152</f>
        <v>0</v>
      </c>
      <c r="R152" s="166"/>
      <c r="S152" s="167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17"/>
      <c r="B153" s="240" t="s">
        <v>282</v>
      </c>
      <c r="C153" s="19" t="s">
        <v>33</v>
      </c>
      <c r="D153" s="19" t="s">
        <v>283</v>
      </c>
      <c r="E153" s="19" t="s">
        <v>284</v>
      </c>
      <c r="F153" s="20"/>
      <c r="G153" s="146" t="s">
        <v>22</v>
      </c>
      <c r="H153" s="173"/>
      <c r="I153" s="148"/>
      <c r="J153" s="148"/>
      <c r="K153" s="241"/>
      <c r="L153" s="241" t="n">
        <f aca="false">M153+N153</f>
        <v>0</v>
      </c>
      <c r="M153" s="241"/>
      <c r="N153" s="150"/>
      <c r="O153" s="206"/>
      <c r="P153" s="149"/>
      <c r="Q153" s="149" t="n">
        <f aca="false">R153+S153</f>
        <v>0</v>
      </c>
      <c r="R153" s="149"/>
      <c r="S153" s="15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240"/>
      <c r="C154" s="19"/>
      <c r="D154" s="19"/>
      <c r="E154" s="19"/>
      <c r="F154" s="26" t="s">
        <v>285</v>
      </c>
      <c r="G154" s="152" t="s">
        <v>23</v>
      </c>
      <c r="H154" s="174" t="n">
        <v>3</v>
      </c>
      <c r="I154" s="154"/>
      <c r="J154" s="154"/>
      <c r="K154" s="242"/>
      <c r="L154" s="242" t="n">
        <f aca="false">M154+N154</f>
        <v>0</v>
      </c>
      <c r="M154" s="242"/>
      <c r="N154" s="156"/>
      <c r="O154" s="209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112</v>
      </c>
      <c r="C155" s="35" t="s">
        <v>20</v>
      </c>
      <c r="D155" s="35" t="s">
        <v>197</v>
      </c>
      <c r="E155" s="35" t="s">
        <v>25</v>
      </c>
      <c r="F155" s="36"/>
      <c r="G155" s="158" t="s">
        <v>22</v>
      </c>
      <c r="H155" s="159" t="n">
        <v>11</v>
      </c>
      <c r="I155" s="160" t="n">
        <v>6</v>
      </c>
      <c r="J155" s="160" t="n">
        <v>7</v>
      </c>
      <c r="K155" s="140" t="n">
        <v>23292.74</v>
      </c>
      <c r="L155" s="140" t="n">
        <f aca="false">M155+N155</f>
        <v>23292.74</v>
      </c>
      <c r="M155" s="140" t="n">
        <v>23292.74</v>
      </c>
      <c r="N155" s="190"/>
      <c r="O155" s="163" t="n">
        <v>4</v>
      </c>
      <c r="P155" s="161" t="n">
        <v>20244.62</v>
      </c>
      <c r="Q155" s="161" t="n">
        <f aca="false">R155+S155</f>
        <v>20244.62</v>
      </c>
      <c r="R155" s="161" t="n">
        <v>20244.62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26" t="s">
        <v>198</v>
      </c>
      <c r="G156" s="152" t="s">
        <v>26</v>
      </c>
      <c r="H156" s="171" t="n">
        <v>3</v>
      </c>
      <c r="I156" s="165"/>
      <c r="J156" s="165" t="n">
        <v>1</v>
      </c>
      <c r="K156" s="166" t="n">
        <v>1762</v>
      </c>
      <c r="L156" s="166" t="n">
        <f aca="false">M156+N156</f>
        <v>0</v>
      </c>
      <c r="M156" s="166"/>
      <c r="N156" s="156"/>
      <c r="O156" s="168" t="n">
        <v>1</v>
      </c>
      <c r="P156" s="166" t="n">
        <v>2114.4</v>
      </c>
      <c r="Q156" s="166" t="n">
        <f aca="false">R156+S156</f>
        <v>2114.4</v>
      </c>
      <c r="R156" s="166" t="n">
        <f aca="false">2114.4</f>
        <v>2114.4</v>
      </c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true" outlineLevel="0" collapsed="false">
      <c r="A157" s="17"/>
      <c r="B157" s="18" t="s">
        <v>113</v>
      </c>
      <c r="C157" s="19" t="s">
        <v>20</v>
      </c>
      <c r="D157" s="19"/>
      <c r="E157" s="19" t="s">
        <v>31</v>
      </c>
      <c r="F157" s="36"/>
      <c r="G157" s="146" t="s">
        <v>22</v>
      </c>
      <c r="H157" s="159" t="n">
        <v>10</v>
      </c>
      <c r="I157" s="148" t="n">
        <v>6</v>
      </c>
      <c r="J157" s="148" t="n">
        <v>7</v>
      </c>
      <c r="K157" s="149" t="n">
        <v>13847.41</v>
      </c>
      <c r="L157" s="149" t="n">
        <f aca="false">M157+N157</f>
        <v>12303.8</v>
      </c>
      <c r="M157" s="149" t="n">
        <v>12303.8</v>
      </c>
      <c r="N157" s="190"/>
      <c r="O157" s="151" t="n">
        <v>6</v>
      </c>
      <c r="P157" s="149" t="n">
        <v>12527.12</v>
      </c>
      <c r="Q157" s="149" t="n">
        <f aca="false">R157+S157</f>
        <v>9035.03</v>
      </c>
      <c r="R157" s="149" t="n">
        <v>9035.03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18"/>
      <c r="C158" s="18"/>
      <c r="D158" s="18"/>
      <c r="E158" s="18"/>
      <c r="F158" s="57"/>
      <c r="G158" s="152" t="s">
        <v>26</v>
      </c>
      <c r="H158" s="153"/>
      <c r="I158" s="154"/>
      <c r="J158" s="154"/>
      <c r="K158" s="155"/>
      <c r="L158" s="155" t="n">
        <f aca="false">M158+N158</f>
        <v>0</v>
      </c>
      <c r="M158" s="155"/>
      <c r="N158" s="156"/>
      <c r="O158" s="157"/>
      <c r="P158" s="155"/>
      <c r="Q158" s="155" t="n">
        <f aca="false">R158+S158</f>
        <v>0</v>
      </c>
      <c r="R158" s="155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33"/>
      <c r="B159" s="34" t="s">
        <v>114</v>
      </c>
      <c r="C159" s="35" t="s">
        <v>20</v>
      </c>
      <c r="D159" s="95"/>
      <c r="E159" s="35" t="s">
        <v>25</v>
      </c>
      <c r="F159" s="71"/>
      <c r="G159" s="146" t="s">
        <v>22</v>
      </c>
      <c r="H159" s="169" t="n">
        <v>1</v>
      </c>
      <c r="I159" s="160"/>
      <c r="J159" s="160"/>
      <c r="K159" s="161"/>
      <c r="L159" s="161" t="n">
        <f aca="false">M159+N159</f>
        <v>0</v>
      </c>
      <c r="M159" s="161"/>
      <c r="N159" s="190"/>
      <c r="O159" s="163" t="n">
        <v>3</v>
      </c>
      <c r="P159" s="161" t="n">
        <v>4574.09</v>
      </c>
      <c r="Q159" s="161" t="n">
        <f aca="false">R159+S159</f>
        <v>0</v>
      </c>
      <c r="R159" s="161"/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33"/>
      <c r="B160" s="34"/>
      <c r="C160" s="34"/>
      <c r="D160" s="34"/>
      <c r="E160" s="34"/>
      <c r="F160" s="42" t="s">
        <v>274</v>
      </c>
      <c r="G160" s="164" t="s">
        <v>26</v>
      </c>
      <c r="H160" s="175" t="n">
        <v>4</v>
      </c>
      <c r="I160" s="165" t="n">
        <v>3</v>
      </c>
      <c r="J160" s="165" t="n">
        <v>3</v>
      </c>
      <c r="K160" s="166" t="n">
        <v>4075.22</v>
      </c>
      <c r="L160" s="166" t="n">
        <f aca="false">M160+N160</f>
        <v>0</v>
      </c>
      <c r="M160" s="166"/>
      <c r="N160" s="156"/>
      <c r="O160" s="168"/>
      <c r="P160" s="166"/>
      <c r="Q160" s="166" t="n">
        <f aca="false">R160+S160</f>
        <v>0</v>
      </c>
      <c r="R160" s="166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 t="s">
        <v>243</v>
      </c>
      <c r="C161" s="219"/>
      <c r="D161" s="19"/>
      <c r="E161" s="19"/>
      <c r="F161" s="20"/>
      <c r="G161" s="146" t="s">
        <v>22</v>
      </c>
      <c r="H161" s="173" t="n">
        <v>2</v>
      </c>
      <c r="I161" s="148"/>
      <c r="J161" s="148"/>
      <c r="K161" s="149"/>
      <c r="L161" s="149" t="n">
        <f aca="false">M161+N161</f>
        <v>0</v>
      </c>
      <c r="M161" s="149"/>
      <c r="N161" s="190"/>
      <c r="O161" s="206"/>
      <c r="P161" s="149"/>
      <c r="Q161" s="149" t="n">
        <f aca="false">R161+S161</f>
        <v>0</v>
      </c>
      <c r="R161" s="149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26" t="s">
        <v>275</v>
      </c>
      <c r="G162" s="152" t="s">
        <v>26</v>
      </c>
      <c r="H162" s="174" t="n">
        <v>4</v>
      </c>
      <c r="I162" s="154" t="n">
        <v>1</v>
      </c>
      <c r="J162" s="154" t="n">
        <v>1</v>
      </c>
      <c r="K162" s="155" t="n">
        <v>528.6</v>
      </c>
      <c r="L162" s="155" t="n">
        <f aca="false">M162+N162</f>
        <v>3476.14</v>
      </c>
      <c r="M162" s="155" t="n">
        <f aca="false">3476.14</f>
        <v>3476.14</v>
      </c>
      <c r="N162" s="156"/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54"/>
      <c r="B163" s="55" t="s">
        <v>200</v>
      </c>
      <c r="C163" s="220"/>
      <c r="D163" s="56"/>
      <c r="E163" s="56"/>
      <c r="F163" s="36"/>
      <c r="G163" s="158" t="s">
        <v>22</v>
      </c>
      <c r="H163" s="159" t="n">
        <v>21</v>
      </c>
      <c r="I163" s="160" t="n">
        <v>18</v>
      </c>
      <c r="J163" s="160" t="n">
        <v>18</v>
      </c>
      <c r="K163" s="161" t="n">
        <v>14987.23</v>
      </c>
      <c r="L163" s="161" t="n">
        <f aca="false">M163+N163</f>
        <v>14018.13</v>
      </c>
      <c r="M163" s="161" t="n">
        <v>14018.13</v>
      </c>
      <c r="N163" s="190"/>
      <c r="O163" s="163"/>
      <c r="P163" s="161"/>
      <c r="Q163" s="161" t="n">
        <f aca="false">R163+S163</f>
        <v>0</v>
      </c>
      <c r="R163" s="161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54"/>
      <c r="B164" s="55"/>
      <c r="C164" s="55"/>
      <c r="D164" s="55"/>
      <c r="E164" s="55"/>
      <c r="F164" s="57"/>
      <c r="G164" s="152" t="s">
        <v>26</v>
      </c>
      <c r="H164" s="174" t="n">
        <v>4</v>
      </c>
      <c r="I164" s="154" t="n">
        <v>3</v>
      </c>
      <c r="J164" s="154" t="n">
        <v>3</v>
      </c>
      <c r="K164" s="155" t="n">
        <v>4757.4</v>
      </c>
      <c r="L164" s="155" t="n">
        <f aca="false">M164+N164</f>
        <v>6096.52</v>
      </c>
      <c r="M164" s="155" t="n">
        <f aca="false">4757.4</f>
        <v>4757.4</v>
      </c>
      <c r="N164" s="156" t="n">
        <f aca="false">1339.12</f>
        <v>1339.12</v>
      </c>
      <c r="O164" s="157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54"/>
      <c r="B165" s="55" t="s">
        <v>115</v>
      </c>
      <c r="C165" s="56" t="s">
        <v>20</v>
      </c>
      <c r="D165" s="56"/>
      <c r="E165" s="56" t="s">
        <v>116</v>
      </c>
      <c r="F165" s="36"/>
      <c r="G165" s="158" t="s">
        <v>22</v>
      </c>
      <c r="H165" s="159" t="n">
        <v>13</v>
      </c>
      <c r="I165" s="160" t="n">
        <v>7</v>
      </c>
      <c r="J165" s="160" t="n">
        <v>8</v>
      </c>
      <c r="K165" s="161" t="n">
        <v>6070.98</v>
      </c>
      <c r="L165" s="161" t="n">
        <f aca="false">M165+N165</f>
        <v>6070.98</v>
      </c>
      <c r="M165" s="161" t="n">
        <v>6070.98</v>
      </c>
      <c r="N165" s="190"/>
      <c r="O165" s="163" t="n">
        <v>16</v>
      </c>
      <c r="P165" s="161" t="n">
        <v>38035.34</v>
      </c>
      <c r="Q165" s="161" t="n">
        <f aca="false">R165+S165</f>
        <v>22208.41</v>
      </c>
      <c r="R165" s="161" t="n">
        <v>22208.41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54"/>
      <c r="B166" s="55"/>
      <c r="C166" s="55"/>
      <c r="D166" s="55"/>
      <c r="E166" s="55"/>
      <c r="F166" s="42" t="s">
        <v>201</v>
      </c>
      <c r="G166" s="164" t="s">
        <v>26</v>
      </c>
      <c r="H166" s="172" t="n">
        <v>9</v>
      </c>
      <c r="I166" s="165" t="n">
        <v>2</v>
      </c>
      <c r="J166" s="165" t="n">
        <v>2</v>
      </c>
      <c r="K166" s="166" t="n">
        <v>5990.8</v>
      </c>
      <c r="L166" s="161" t="n">
        <f aca="false">M166+N166</f>
        <v>1585.8</v>
      </c>
      <c r="M166" s="166" t="n">
        <v>1585.8</v>
      </c>
      <c r="N166" s="156"/>
      <c r="O166" s="168" t="n">
        <v>8</v>
      </c>
      <c r="P166" s="166" t="n">
        <v>881</v>
      </c>
      <c r="Q166" s="166" t="n">
        <f aca="false">R166+S166</f>
        <v>5286</v>
      </c>
      <c r="R166" s="166" t="n">
        <f aca="false">881+2114.4+2290.6</f>
        <v>5286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18" t="s">
        <v>157</v>
      </c>
      <c r="C167" s="19"/>
      <c r="D167" s="19"/>
      <c r="E167" s="127"/>
      <c r="F167" s="22"/>
      <c r="G167" s="146" t="s">
        <v>22</v>
      </c>
      <c r="H167" s="147" t="n">
        <v>8</v>
      </c>
      <c r="I167" s="148" t="n">
        <v>1</v>
      </c>
      <c r="J167" s="148" t="n">
        <v>1</v>
      </c>
      <c r="K167" s="149" t="n">
        <v>3876.4</v>
      </c>
      <c r="L167" s="149" t="n">
        <f aca="false">M167+N167</f>
        <v>3876.4</v>
      </c>
      <c r="M167" s="149" t="n">
        <v>3876.4</v>
      </c>
      <c r="N167" s="190"/>
      <c r="O167" s="151"/>
      <c r="P167" s="149"/>
      <c r="Q167" s="149" t="n">
        <f aca="false">R167+S167</f>
        <v>0</v>
      </c>
      <c r="R167" s="149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" hidden="false" customHeight="false" outlineLevel="0" collapsed="false">
      <c r="A168" s="17"/>
      <c r="B168" s="18"/>
      <c r="C168" s="18"/>
      <c r="D168" s="18"/>
      <c r="E168" s="127"/>
      <c r="F168" s="26" t="s">
        <v>202</v>
      </c>
      <c r="G168" s="152" t="s">
        <v>26</v>
      </c>
      <c r="H168" s="176" t="n">
        <v>1</v>
      </c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1762</v>
      </c>
      <c r="R168" s="155"/>
      <c r="S168" s="156" t="n">
        <v>1762</v>
      </c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34" t="s">
        <v>117</v>
      </c>
      <c r="C169" s="35" t="s">
        <v>33</v>
      </c>
      <c r="D169" s="35" t="s">
        <v>118</v>
      </c>
      <c r="E169" s="74" t="s">
        <v>25</v>
      </c>
      <c r="F169" s="89"/>
      <c r="G169" s="158" t="s">
        <v>22</v>
      </c>
      <c r="H169" s="169"/>
      <c r="I169" s="160"/>
      <c r="J169" s="160"/>
      <c r="K169" s="161"/>
      <c r="L169" s="161" t="n">
        <f aca="false">M169+N169</f>
        <v>0</v>
      </c>
      <c r="M169" s="161"/>
      <c r="N169" s="190"/>
      <c r="O169" s="163"/>
      <c r="P169" s="161"/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false" outlineLevel="0" collapsed="false">
      <c r="A170" s="33"/>
      <c r="B170" s="34"/>
      <c r="C170" s="34"/>
      <c r="D170" s="34"/>
      <c r="E170" s="34"/>
      <c r="F170" s="42"/>
      <c r="G170" s="158" t="s">
        <v>23</v>
      </c>
      <c r="H170" s="169"/>
      <c r="I170" s="160"/>
      <c r="J170" s="160"/>
      <c r="K170" s="161"/>
      <c r="L170" s="161" t="n">
        <f aca="false">M170+N170</f>
        <v>0</v>
      </c>
      <c r="M170" s="161"/>
      <c r="N170" s="167"/>
      <c r="O170" s="163" t="n">
        <v>2</v>
      </c>
      <c r="P170" s="161" t="n">
        <v>1762</v>
      </c>
      <c r="Q170" s="161" t="n">
        <v>1762</v>
      </c>
      <c r="R170" s="161" t="n">
        <v>1762</v>
      </c>
      <c r="S170" s="167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false" outlineLevel="0" collapsed="false">
      <c r="A171" s="33"/>
      <c r="B171" s="34"/>
      <c r="C171" s="34"/>
      <c r="D171" s="34"/>
      <c r="E171" s="34"/>
      <c r="F171" s="42"/>
      <c r="G171" s="164" t="s">
        <v>26</v>
      </c>
      <c r="H171" s="153"/>
      <c r="I171" s="165"/>
      <c r="J171" s="165"/>
      <c r="K171" s="166"/>
      <c r="L171" s="166" t="n">
        <f aca="false">M171+N171</f>
        <v>0</v>
      </c>
      <c r="M171" s="166"/>
      <c r="N171" s="156"/>
      <c r="O171" s="168" t="n">
        <v>6</v>
      </c>
      <c r="P171" s="166" t="n">
        <v>4845.5</v>
      </c>
      <c r="Q171" s="166" t="n">
        <f aca="false">R171+S171</f>
        <v>1762</v>
      </c>
      <c r="R171" s="166" t="n">
        <v>1762</v>
      </c>
      <c r="S171" s="156" t="n">
        <v>0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true" outlineLevel="0" collapsed="false">
      <c r="A172" s="17"/>
      <c r="B172" s="18" t="s">
        <v>119</v>
      </c>
      <c r="C172" s="19" t="s">
        <v>20</v>
      </c>
      <c r="D172" s="19"/>
      <c r="E172" s="19" t="s">
        <v>25</v>
      </c>
      <c r="F172" s="20"/>
      <c r="G172" s="146" t="s">
        <v>22</v>
      </c>
      <c r="H172" s="169"/>
      <c r="I172" s="148"/>
      <c r="J172" s="148"/>
      <c r="K172" s="149"/>
      <c r="L172" s="149" t="n">
        <f aca="false">M172+N172</f>
        <v>0</v>
      </c>
      <c r="M172" s="149"/>
      <c r="N172" s="190"/>
      <c r="O172" s="151" t="n">
        <v>2</v>
      </c>
      <c r="P172" s="149" t="n">
        <v>2643</v>
      </c>
      <c r="Q172" s="149" t="n">
        <f aca="false">R172+S172</f>
        <v>2643</v>
      </c>
      <c r="R172" s="149" t="n">
        <v>2643</v>
      </c>
      <c r="S172" s="190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17"/>
      <c r="B173" s="18"/>
      <c r="C173" s="18"/>
      <c r="D173" s="18"/>
      <c r="E173" s="18"/>
      <c r="F173" s="42" t="s">
        <v>203</v>
      </c>
      <c r="G173" s="164" t="s">
        <v>26</v>
      </c>
      <c r="H173" s="175" t="n">
        <v>4</v>
      </c>
      <c r="I173" s="165" t="n">
        <v>2</v>
      </c>
      <c r="J173" s="165" t="n">
        <v>2</v>
      </c>
      <c r="K173" s="166" t="n">
        <v>1233.4</v>
      </c>
      <c r="L173" s="166" t="n">
        <f aca="false">M173+N173</f>
        <v>1812.59</v>
      </c>
      <c r="M173" s="166" t="n">
        <f aca="false">704.8</f>
        <v>704.8</v>
      </c>
      <c r="N173" s="156" t="n">
        <f aca="false">1107.79</f>
        <v>1107.79</v>
      </c>
      <c r="O173" s="168" t="n">
        <v>3</v>
      </c>
      <c r="P173" s="166" t="n">
        <v>7576.6</v>
      </c>
      <c r="Q173" s="166" t="n">
        <f aca="false">R173+S173</f>
        <v>7349.81</v>
      </c>
      <c r="R173" s="166" t="n">
        <v>7349.81</v>
      </c>
      <c r="S173" s="156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225</v>
      </c>
      <c r="C174" s="19"/>
      <c r="D174" s="19"/>
      <c r="E174" s="19"/>
      <c r="F174" s="20"/>
      <c r="G174" s="146" t="s">
        <v>22</v>
      </c>
      <c r="H174" s="147"/>
      <c r="I174" s="148"/>
      <c r="J174" s="148"/>
      <c r="K174" s="149"/>
      <c r="L174" s="149" t="n">
        <f aca="false">M174+N174</f>
        <v>0</v>
      </c>
      <c r="M174" s="149"/>
      <c r="N174" s="190"/>
      <c r="O174" s="151"/>
      <c r="P174" s="149"/>
      <c r="Q174" s="149" t="n">
        <f aca="false">R174+S174</f>
        <v>0</v>
      </c>
      <c r="R174" s="149"/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false" outlineLevel="0" collapsed="false">
      <c r="A175" s="17"/>
      <c r="B175" s="18"/>
      <c r="C175" s="18"/>
      <c r="D175" s="18"/>
      <c r="E175" s="18"/>
      <c r="F175" s="26" t="s">
        <v>244</v>
      </c>
      <c r="G175" s="152" t="s">
        <v>23</v>
      </c>
      <c r="H175" s="176" t="n">
        <v>16</v>
      </c>
      <c r="I175" s="154" t="n">
        <v>4</v>
      </c>
      <c r="J175" s="154" t="n">
        <v>4</v>
      </c>
      <c r="K175" s="155" t="n">
        <v>3567.8</v>
      </c>
      <c r="L175" s="155" t="n">
        <v>2863</v>
      </c>
      <c r="M175" s="155" t="n">
        <v>2863</v>
      </c>
      <c r="N175" s="156"/>
      <c r="O175" s="157"/>
      <c r="P175" s="155"/>
      <c r="Q175" s="155" t="n">
        <f aca="false">R175+S175</f>
        <v>0</v>
      </c>
      <c r="R175" s="155"/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54"/>
      <c r="B176" s="55" t="s">
        <v>120</v>
      </c>
      <c r="C176" s="56" t="s">
        <v>20</v>
      </c>
      <c r="D176" s="56"/>
      <c r="E176" s="56" t="s">
        <v>25</v>
      </c>
      <c r="F176" s="36"/>
      <c r="G176" s="158" t="s">
        <v>22</v>
      </c>
      <c r="H176" s="169"/>
      <c r="I176" s="160"/>
      <c r="J176" s="160"/>
      <c r="K176" s="161"/>
      <c r="L176" s="161" t="n">
        <f aca="false">M176+N176</f>
        <v>0</v>
      </c>
      <c r="M176" s="161"/>
      <c r="N176" s="190"/>
      <c r="O176" s="163" t="n">
        <v>3</v>
      </c>
      <c r="P176" s="161" t="n">
        <v>3063.78</v>
      </c>
      <c r="Q176" s="161" t="n">
        <f aca="false">R176+S176</f>
        <v>3063.78</v>
      </c>
      <c r="R176" s="161" t="n">
        <v>3063.78</v>
      </c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54"/>
      <c r="B177" s="55"/>
      <c r="C177" s="55"/>
      <c r="D177" s="55"/>
      <c r="E177" s="55"/>
      <c r="F177" s="71"/>
      <c r="G177" s="164" t="s">
        <v>26</v>
      </c>
      <c r="H177" s="175"/>
      <c r="I177" s="165"/>
      <c r="J177" s="165"/>
      <c r="K177" s="166"/>
      <c r="L177" s="166" t="n">
        <f aca="false">M177+N177</f>
        <v>0</v>
      </c>
      <c r="M177" s="166"/>
      <c r="N177" s="156"/>
      <c r="O177" s="168"/>
      <c r="P177" s="166"/>
      <c r="Q177" s="166" t="n">
        <f aca="false">R177+S177</f>
        <v>0</v>
      </c>
      <c r="R177" s="166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72"/>
      <c r="B178" s="18" t="s">
        <v>158</v>
      </c>
      <c r="C178" s="74"/>
      <c r="D178" s="56" t="s">
        <v>204</v>
      </c>
      <c r="E178" s="74"/>
      <c r="F178" s="53"/>
      <c r="G178" s="146" t="s">
        <v>22</v>
      </c>
      <c r="H178" s="195"/>
      <c r="I178" s="196"/>
      <c r="J178" s="196"/>
      <c r="K178" s="197"/>
      <c r="L178" s="197" t="n">
        <f aca="false">M178+N178</f>
        <v>0</v>
      </c>
      <c r="M178" s="197"/>
      <c r="N178" s="190"/>
      <c r="O178" s="199"/>
      <c r="P178" s="197"/>
      <c r="Q178" s="197" t="n">
        <f aca="false">R178+S178</f>
        <v>0</v>
      </c>
      <c r="R178" s="197"/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54"/>
      <c r="B179" s="18"/>
      <c r="C179" s="56"/>
      <c r="D179" s="56"/>
      <c r="E179" s="56"/>
      <c r="F179" s="138" t="s">
        <v>205</v>
      </c>
      <c r="G179" s="152" t="s">
        <v>26</v>
      </c>
      <c r="H179" s="153" t="n">
        <v>3</v>
      </c>
      <c r="I179" s="200" t="n">
        <v>2</v>
      </c>
      <c r="J179" s="200" t="n">
        <v>2</v>
      </c>
      <c r="K179" s="201" t="n">
        <v>3524</v>
      </c>
      <c r="L179" s="201" t="n">
        <f aca="false">M179+N179</f>
        <v>0</v>
      </c>
      <c r="M179" s="201"/>
      <c r="N179" s="156"/>
      <c r="O179" s="203"/>
      <c r="P179" s="201"/>
      <c r="Q179" s="201" t="n">
        <f aca="false">R179+S179</f>
        <v>0</v>
      </c>
      <c r="R179" s="201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33"/>
      <c r="B180" s="34" t="s">
        <v>152</v>
      </c>
      <c r="C180" s="35" t="s">
        <v>20</v>
      </c>
      <c r="D180" s="35"/>
      <c r="E180" s="35" t="s">
        <v>25</v>
      </c>
      <c r="F180" s="36"/>
      <c r="G180" s="158" t="s">
        <v>22</v>
      </c>
      <c r="H180" s="169"/>
      <c r="I180" s="160"/>
      <c r="J180" s="160"/>
      <c r="K180" s="161"/>
      <c r="L180" s="161" t="n">
        <f aca="false">M180+N180</f>
        <v>0</v>
      </c>
      <c r="M180" s="161"/>
      <c r="N180" s="190"/>
      <c r="O180" s="163" t="n">
        <v>4</v>
      </c>
      <c r="P180" s="161" t="n">
        <v>7400.4</v>
      </c>
      <c r="Q180" s="161" t="n">
        <f aca="false">R180+S180</f>
        <v>7400.4</v>
      </c>
      <c r="R180" s="161" t="n">
        <v>7400.4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33"/>
      <c r="B181" s="34"/>
      <c r="C181" s="34"/>
      <c r="D181" s="34"/>
      <c r="E181" s="34"/>
      <c r="F181" s="42" t="s">
        <v>206</v>
      </c>
      <c r="G181" s="164" t="s">
        <v>26</v>
      </c>
      <c r="H181" s="171" t="n">
        <v>4</v>
      </c>
      <c r="I181" s="165"/>
      <c r="J181" s="165" t="n">
        <v>1</v>
      </c>
      <c r="K181" s="166" t="n">
        <v>704.8</v>
      </c>
      <c r="L181" s="166" t="n">
        <v>0</v>
      </c>
      <c r="M181" s="166" t="n">
        <v>0</v>
      </c>
      <c r="N181" s="156"/>
      <c r="O181" s="168" t="n">
        <v>6</v>
      </c>
      <c r="P181" s="166" t="n">
        <v>7048</v>
      </c>
      <c r="Q181" s="161" t="n">
        <f aca="false">R181+S181</f>
        <v>6959.9</v>
      </c>
      <c r="R181" s="166" t="n">
        <f aca="false">2731.1+4228.8</f>
        <v>6959.9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122</v>
      </c>
      <c r="C182" s="19" t="s">
        <v>20</v>
      </c>
      <c r="D182" s="19"/>
      <c r="E182" s="19" t="s">
        <v>116</v>
      </c>
      <c r="F182" s="20"/>
      <c r="G182" s="146" t="s">
        <v>22</v>
      </c>
      <c r="H182" s="159" t="n">
        <v>26</v>
      </c>
      <c r="I182" s="148" t="n">
        <v>21</v>
      </c>
      <c r="J182" s="148" t="n">
        <v>25</v>
      </c>
      <c r="K182" s="149" t="n">
        <v>36711.89</v>
      </c>
      <c r="L182" s="149" t="n">
        <f aca="false">M182+N182</f>
        <v>32759.12</v>
      </c>
      <c r="M182" s="149" t="n">
        <v>32759.12</v>
      </c>
      <c r="N182" s="190"/>
      <c r="O182" s="151" t="n">
        <v>25</v>
      </c>
      <c r="P182" s="149" t="n">
        <v>83681.13</v>
      </c>
      <c r="Q182" s="149" t="n">
        <f aca="false">R182+S182</f>
        <v>61568.09</v>
      </c>
      <c r="R182" s="149" t="n">
        <v>61568.09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57"/>
      <c r="G183" s="152" t="s">
        <v>26</v>
      </c>
      <c r="H183" s="153"/>
      <c r="I183" s="154"/>
      <c r="J183" s="154"/>
      <c r="K183" s="155"/>
      <c r="L183" s="155" t="n">
        <f aca="false">M183+N183</f>
        <v>0</v>
      </c>
      <c r="M183" s="155"/>
      <c r="N183" s="156"/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.75" hidden="false" customHeight="true" outlineLevel="0" collapsed="false">
      <c r="A184" s="33"/>
      <c r="B184" s="34" t="s">
        <v>123</v>
      </c>
      <c r="C184" s="35" t="s">
        <v>20</v>
      </c>
      <c r="D184" s="35"/>
      <c r="E184" s="35" t="s">
        <v>25</v>
      </c>
      <c r="F184" s="36"/>
      <c r="G184" s="146" t="s">
        <v>22</v>
      </c>
      <c r="H184" s="159" t="n">
        <v>3</v>
      </c>
      <c r="I184" s="160" t="n">
        <v>3</v>
      </c>
      <c r="J184" s="160" t="n">
        <v>3</v>
      </c>
      <c r="K184" s="161" t="n">
        <v>2255.36</v>
      </c>
      <c r="L184" s="161" t="n">
        <f aca="false">M184+N184</f>
        <v>2255.36</v>
      </c>
      <c r="M184" s="161" t="n">
        <v>2255.36</v>
      </c>
      <c r="N184" s="190"/>
      <c r="O184" s="163" t="n">
        <v>6</v>
      </c>
      <c r="P184" s="161" t="n">
        <v>10868.41</v>
      </c>
      <c r="Q184" s="161" t="n">
        <f aca="false">R184+S184</f>
        <v>10868.41</v>
      </c>
      <c r="R184" s="161" t="n">
        <v>10868.41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33"/>
      <c r="B185" s="34"/>
      <c r="C185" s="34"/>
      <c r="D185" s="34"/>
      <c r="E185" s="34"/>
      <c r="F185" s="42" t="s">
        <v>207</v>
      </c>
      <c r="G185" s="164" t="s">
        <v>26</v>
      </c>
      <c r="H185" s="153" t="n">
        <v>3</v>
      </c>
      <c r="I185" s="165"/>
      <c r="J185" s="165"/>
      <c r="K185" s="166"/>
      <c r="L185" s="161" t="n">
        <f aca="false">M185+N185</f>
        <v>0</v>
      </c>
      <c r="M185" s="166" t="n">
        <v>0</v>
      </c>
      <c r="N185" s="156"/>
      <c r="O185" s="168" t="n">
        <v>1</v>
      </c>
      <c r="P185" s="166"/>
      <c r="Q185" s="166" t="n">
        <f aca="false">R185+S185</f>
        <v>881</v>
      </c>
      <c r="R185" s="166" t="n">
        <f aca="false">881</f>
        <v>881</v>
      </c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17"/>
      <c r="B186" s="18" t="s">
        <v>124</v>
      </c>
      <c r="C186" s="19" t="s">
        <v>20</v>
      </c>
      <c r="D186" s="19"/>
      <c r="E186" s="19" t="s">
        <v>88</v>
      </c>
      <c r="F186" s="20"/>
      <c r="G186" s="146" t="s">
        <v>22</v>
      </c>
      <c r="H186" s="159" t="n">
        <v>9</v>
      </c>
      <c r="I186" s="148" t="n">
        <v>5</v>
      </c>
      <c r="J186" s="148" t="n">
        <v>5</v>
      </c>
      <c r="K186" s="149" t="n">
        <v>9703.52</v>
      </c>
      <c r="L186" s="149" t="n">
        <f aca="false">M186+N186</f>
        <v>5959.27</v>
      </c>
      <c r="M186" s="149" t="n">
        <v>3286.13</v>
      </c>
      <c r="N186" s="190" t="n">
        <v>2673.14</v>
      </c>
      <c r="O186" s="151" t="n">
        <v>7</v>
      </c>
      <c r="P186" s="149" t="n">
        <v>19070.72</v>
      </c>
      <c r="Q186" s="149" t="n">
        <f aca="false">R186+S186</f>
        <v>19070.72</v>
      </c>
      <c r="R186" s="149" t="n">
        <v>16237.42</v>
      </c>
      <c r="S186" s="190" t="n">
        <v>2833.3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8"/>
      <c r="F187" s="42" t="s">
        <v>245</v>
      </c>
      <c r="G187" s="164" t="s">
        <v>23</v>
      </c>
      <c r="H187" s="172" t="n">
        <v>8</v>
      </c>
      <c r="I187" s="165" t="n">
        <v>2</v>
      </c>
      <c r="J187" s="165" t="n">
        <v>2</v>
      </c>
      <c r="K187" s="166" t="n">
        <v>925.05</v>
      </c>
      <c r="L187" s="166" t="n">
        <v>0</v>
      </c>
      <c r="M187" s="166"/>
      <c r="N187" s="156"/>
      <c r="O187" s="168" t="n">
        <v>6</v>
      </c>
      <c r="P187" s="166" t="n">
        <v>9061.9</v>
      </c>
      <c r="Q187" s="166" t="n">
        <v>8092.8</v>
      </c>
      <c r="R187" s="166" t="n">
        <v>8092.8</v>
      </c>
      <c r="S187" s="156" t="n">
        <v>969.1</v>
      </c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17"/>
      <c r="B188" s="18" t="s">
        <v>208</v>
      </c>
      <c r="C188" s="19"/>
      <c r="D188" s="19"/>
      <c r="E188" s="127"/>
      <c r="F188" s="20"/>
      <c r="G188" s="146" t="s">
        <v>22</v>
      </c>
      <c r="H188" s="173" t="n">
        <v>26</v>
      </c>
      <c r="I188" s="148" t="n">
        <v>3</v>
      </c>
      <c r="J188" s="148" t="n">
        <v>3</v>
      </c>
      <c r="K188" s="149" t="n">
        <v>3728.39</v>
      </c>
      <c r="L188" s="149" t="n">
        <f aca="false">M188+N188</f>
        <v>2396.32</v>
      </c>
      <c r="M188" s="149" t="n">
        <v>2396.32</v>
      </c>
      <c r="N188" s="190"/>
      <c r="O188" s="151"/>
      <c r="P188" s="149"/>
      <c r="Q188" s="149" t="n">
        <f aca="false">R188+S188</f>
        <v>0</v>
      </c>
      <c r="R188" s="149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28"/>
      <c r="F189" s="26" t="s">
        <v>246</v>
      </c>
      <c r="G189" s="152" t="s">
        <v>23</v>
      </c>
      <c r="H189" s="174" t="n">
        <v>7</v>
      </c>
      <c r="I189" s="154"/>
      <c r="J189" s="154"/>
      <c r="K189" s="155"/>
      <c r="L189" s="155" t="n">
        <f aca="false">M189+N189</f>
        <v>0</v>
      </c>
      <c r="M189" s="155"/>
      <c r="N189" s="156"/>
      <c r="O189" s="157"/>
      <c r="P189" s="155"/>
      <c r="Q189" s="155" t="n">
        <f aca="false">R189+S189</f>
        <v>0</v>
      </c>
      <c r="R189" s="155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33"/>
      <c r="B190" s="34" t="s">
        <v>125</v>
      </c>
      <c r="C190" s="35" t="s">
        <v>33</v>
      </c>
      <c r="D190" s="35" t="s">
        <v>126</v>
      </c>
      <c r="E190" s="35" t="s">
        <v>127</v>
      </c>
      <c r="F190" s="36"/>
      <c r="G190" s="158" t="s">
        <v>22</v>
      </c>
      <c r="H190" s="159" t="n">
        <v>9</v>
      </c>
      <c r="I190" s="160" t="n">
        <v>5</v>
      </c>
      <c r="J190" s="160" t="n">
        <v>6</v>
      </c>
      <c r="K190" s="161" t="n">
        <v>7126.5</v>
      </c>
      <c r="L190" s="161" t="n">
        <f aca="false">M190+N190</f>
        <v>7126.5</v>
      </c>
      <c r="M190" s="161" t="n">
        <v>6427.42</v>
      </c>
      <c r="N190" s="190" t="n">
        <v>699.08</v>
      </c>
      <c r="O190" s="163" t="n">
        <v>14</v>
      </c>
      <c r="P190" s="161" t="n">
        <v>33154.57</v>
      </c>
      <c r="Q190" s="161" t="n">
        <f aca="false">R190+S190</f>
        <v>32035.95</v>
      </c>
      <c r="R190" s="161" t="n">
        <v>24224.96</v>
      </c>
      <c r="S190" s="190" t="n">
        <v>7810.99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/>
      <c r="G191" s="164" t="s">
        <v>23</v>
      </c>
      <c r="H191" s="171" t="n">
        <v>31</v>
      </c>
      <c r="I191" s="165" t="n">
        <v>6</v>
      </c>
      <c r="J191" s="165" t="n">
        <v>6</v>
      </c>
      <c r="K191" s="166" t="n">
        <v>10924.4</v>
      </c>
      <c r="L191" s="166" t="n">
        <v>5109.8</v>
      </c>
      <c r="M191" s="166" t="n">
        <v>5109.8</v>
      </c>
      <c r="N191" s="156" t="n">
        <v>704.8</v>
      </c>
      <c r="O191" s="168" t="n">
        <v>16</v>
      </c>
      <c r="P191" s="166" t="n">
        <v>39022.9</v>
      </c>
      <c r="Q191" s="166" t="n">
        <v>25129.92</v>
      </c>
      <c r="R191" s="166" t="n">
        <v>25129.92</v>
      </c>
      <c r="S191" s="156" t="n">
        <v>5902.2</v>
      </c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18" t="s">
        <v>128</v>
      </c>
      <c r="C192" s="19" t="s">
        <v>20</v>
      </c>
      <c r="D192" s="19"/>
      <c r="E192" s="19" t="s">
        <v>25</v>
      </c>
      <c r="F192" s="20"/>
      <c r="G192" s="146" t="s">
        <v>22</v>
      </c>
      <c r="H192" s="159" t="n">
        <v>17</v>
      </c>
      <c r="I192" s="148" t="n">
        <v>10</v>
      </c>
      <c r="J192" s="148" t="n">
        <v>10</v>
      </c>
      <c r="K192" s="149" t="n">
        <v>10868.49</v>
      </c>
      <c r="L192" s="149" t="n">
        <f aca="false">M192+N192</f>
        <v>10868.49</v>
      </c>
      <c r="M192" s="149" t="n">
        <v>10868.49</v>
      </c>
      <c r="N192" s="190"/>
      <c r="O192" s="151" t="n">
        <v>24</v>
      </c>
      <c r="P192" s="149" t="n">
        <v>42740.26</v>
      </c>
      <c r="Q192" s="149" t="n">
        <f aca="false">R192+S192</f>
        <v>42740.26</v>
      </c>
      <c r="R192" s="149" t="n">
        <v>42740.26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71"/>
      <c r="G193" s="164" t="s">
        <v>26</v>
      </c>
      <c r="H193" s="175"/>
      <c r="I193" s="165"/>
      <c r="J193" s="165"/>
      <c r="K193" s="166"/>
      <c r="L193" s="166" t="n">
        <f aca="false">M193+N193</f>
        <v>0</v>
      </c>
      <c r="M193" s="166"/>
      <c r="N193" s="156"/>
      <c r="O193" s="168"/>
      <c r="P193" s="166"/>
      <c r="Q193" s="166" t="n">
        <f aca="false">R193+S193</f>
        <v>0</v>
      </c>
      <c r="R193" s="166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227</v>
      </c>
      <c r="C194" s="19"/>
      <c r="D194" s="19"/>
      <c r="E194" s="19"/>
      <c r="F194" s="20"/>
      <c r="G194" s="204" t="s">
        <v>22</v>
      </c>
      <c r="H194" s="173" t="n">
        <v>2</v>
      </c>
      <c r="I194" s="148" t="n">
        <v>1</v>
      </c>
      <c r="J194" s="148" t="n">
        <v>1</v>
      </c>
      <c r="K194" s="149" t="n">
        <v>621.99</v>
      </c>
      <c r="L194" s="149" t="n">
        <f aca="false">M194+N194</f>
        <v>0</v>
      </c>
      <c r="M194" s="149"/>
      <c r="N194" s="190"/>
      <c r="O194" s="206"/>
      <c r="P194" s="149"/>
      <c r="Q194" s="149" t="n">
        <f aca="false">R194+S194</f>
        <v>0</v>
      </c>
      <c r="R194" s="149"/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57"/>
      <c r="G195" s="207" t="s">
        <v>26</v>
      </c>
      <c r="H195" s="174"/>
      <c r="I195" s="154"/>
      <c r="J195" s="154"/>
      <c r="K195" s="155"/>
      <c r="L195" s="155" t="n">
        <f aca="false">M195+N195</f>
        <v>0</v>
      </c>
      <c r="M195" s="155"/>
      <c r="N195" s="156"/>
      <c r="O195" s="209"/>
      <c r="P195" s="155"/>
      <c r="Q195" s="155" t="n">
        <f aca="false">R195+S195</f>
        <v>0</v>
      </c>
      <c r="R195" s="155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33"/>
      <c r="B196" s="34" t="s">
        <v>129</v>
      </c>
      <c r="C196" s="35" t="s">
        <v>38</v>
      </c>
      <c r="D196" s="35" t="s">
        <v>130</v>
      </c>
      <c r="E196" s="35" t="s">
        <v>25</v>
      </c>
      <c r="F196" s="36"/>
      <c r="G196" s="158" t="s">
        <v>22</v>
      </c>
      <c r="H196" s="159" t="n">
        <v>11</v>
      </c>
      <c r="I196" s="160" t="n">
        <v>8</v>
      </c>
      <c r="J196" s="160" t="n">
        <v>8</v>
      </c>
      <c r="K196" s="161" t="n">
        <v>7208.26</v>
      </c>
      <c r="L196" s="161" t="n">
        <f aca="false">M196+N196</f>
        <v>5680.61</v>
      </c>
      <c r="M196" s="161" t="n">
        <v>5680.61</v>
      </c>
      <c r="N196" s="190"/>
      <c r="O196" s="163" t="n">
        <v>3</v>
      </c>
      <c r="P196" s="161" t="n">
        <v>55205.85</v>
      </c>
      <c r="Q196" s="161" t="n">
        <f aca="false">R196+S196</f>
        <v>44463.45</v>
      </c>
      <c r="R196" s="161" t="n">
        <v>44463.45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33"/>
      <c r="B197" s="34"/>
      <c r="C197" s="34"/>
      <c r="D197" s="34"/>
      <c r="E197" s="34"/>
      <c r="F197" s="42" t="s">
        <v>209</v>
      </c>
      <c r="G197" s="164" t="s">
        <v>26</v>
      </c>
      <c r="H197" s="153" t="n">
        <v>3</v>
      </c>
      <c r="I197" s="165" t="n">
        <v>1</v>
      </c>
      <c r="J197" s="165" t="n">
        <v>1</v>
      </c>
      <c r="K197" s="166" t="n">
        <v>1762</v>
      </c>
      <c r="L197" s="161" t="n">
        <f aca="false">M197+N197</f>
        <v>0</v>
      </c>
      <c r="M197" s="166" t="n">
        <v>0</v>
      </c>
      <c r="N197" s="156"/>
      <c r="O197" s="168" t="n">
        <v>7</v>
      </c>
      <c r="P197" s="166" t="n">
        <v>20590.6</v>
      </c>
      <c r="Q197" s="166" t="n">
        <f aca="false">R197+S197</f>
        <v>17783.7</v>
      </c>
      <c r="R197" s="166" t="n">
        <f aca="false">881+881+14612.2+1409.5</f>
        <v>17783.7</v>
      </c>
      <c r="S197" s="167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6.5" hidden="false" customHeight="true" outlineLevel="0" collapsed="false">
      <c r="A198" s="17"/>
      <c r="B198" s="18" t="s">
        <v>131</v>
      </c>
      <c r="C198" s="19" t="s">
        <v>38</v>
      </c>
      <c r="D198" s="19" t="s">
        <v>130</v>
      </c>
      <c r="E198" s="19" t="s">
        <v>25</v>
      </c>
      <c r="F198" s="20"/>
      <c r="G198" s="146" t="s">
        <v>22</v>
      </c>
      <c r="H198" s="159" t="n">
        <v>9</v>
      </c>
      <c r="I198" s="148" t="n">
        <v>7</v>
      </c>
      <c r="J198" s="148" t="n">
        <v>11</v>
      </c>
      <c r="K198" s="149" t="n">
        <v>25996.1</v>
      </c>
      <c r="L198" s="149" t="n">
        <f aca="false">M198+N198</f>
        <v>25996.1</v>
      </c>
      <c r="M198" s="149" t="n">
        <v>25996.1</v>
      </c>
      <c r="N198" s="190"/>
      <c r="O198" s="151" t="n">
        <v>14</v>
      </c>
      <c r="P198" s="149" t="n">
        <v>65810.62</v>
      </c>
      <c r="Q198" s="149" t="n">
        <f aca="false">R198+S198</f>
        <v>58274.05</v>
      </c>
      <c r="R198" s="149" t="n">
        <v>58274.05</v>
      </c>
      <c r="S198" s="198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6.5" hidden="false" customHeight="true" outlineLevel="0" collapsed="false">
      <c r="A199" s="17"/>
      <c r="B199" s="18"/>
      <c r="C199" s="18"/>
      <c r="D199" s="18"/>
      <c r="E199" s="18"/>
      <c r="F199" s="26" t="s">
        <v>210</v>
      </c>
      <c r="G199" s="152" t="s">
        <v>26</v>
      </c>
      <c r="H199" s="153" t="n">
        <v>3</v>
      </c>
      <c r="I199" s="154" t="n">
        <v>2</v>
      </c>
      <c r="J199" s="154" t="n">
        <v>2</v>
      </c>
      <c r="K199" s="155" t="n">
        <v>1585.8</v>
      </c>
      <c r="L199" s="155" t="n">
        <f aca="false">M199+N199</f>
        <v>1585.8</v>
      </c>
      <c r="M199" s="155" t="n">
        <f aca="false">1585.8</f>
        <v>1585.8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33"/>
      <c r="B200" s="34" t="s">
        <v>132</v>
      </c>
      <c r="C200" s="35" t="s">
        <v>20</v>
      </c>
      <c r="D200" s="35"/>
      <c r="E200" s="35" t="s">
        <v>69</v>
      </c>
      <c r="F200" s="38"/>
      <c r="G200" s="146" t="s">
        <v>22</v>
      </c>
      <c r="H200" s="159" t="n">
        <v>8</v>
      </c>
      <c r="I200" s="160" t="n">
        <v>7</v>
      </c>
      <c r="J200" s="160" t="n">
        <v>11</v>
      </c>
      <c r="K200" s="161" t="n">
        <v>23368.97</v>
      </c>
      <c r="L200" s="161" t="n">
        <f aca="false">M200+N200</f>
        <v>23368.97</v>
      </c>
      <c r="M200" s="161" t="n">
        <v>14544.62</v>
      </c>
      <c r="N200" s="190" t="n">
        <v>8824.35</v>
      </c>
      <c r="O200" s="163" t="n">
        <v>11</v>
      </c>
      <c r="P200" s="161" t="n">
        <v>34976.18</v>
      </c>
      <c r="Q200" s="161" t="n">
        <f aca="false">R200+S200</f>
        <v>28827.93</v>
      </c>
      <c r="R200" s="161" t="n">
        <v>28827.93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33"/>
      <c r="B201" s="34"/>
      <c r="C201" s="34"/>
      <c r="D201" s="34"/>
      <c r="E201" s="34"/>
      <c r="F201" s="42" t="s">
        <v>211</v>
      </c>
      <c r="G201" s="164" t="s">
        <v>26</v>
      </c>
      <c r="H201" s="153" t="n">
        <v>8</v>
      </c>
      <c r="I201" s="165" t="n">
        <v>3</v>
      </c>
      <c r="J201" s="165" t="n">
        <v>3</v>
      </c>
      <c r="K201" s="166" t="n">
        <v>10184.36</v>
      </c>
      <c r="L201" s="166" t="n">
        <f aca="false">M201+N201</f>
        <v>0</v>
      </c>
      <c r="M201" s="166"/>
      <c r="N201" s="156"/>
      <c r="O201" s="168" t="n">
        <v>1</v>
      </c>
      <c r="P201" s="166" t="n">
        <v>3700.2</v>
      </c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72"/>
      <c r="B202" s="73" t="s">
        <v>133</v>
      </c>
      <c r="C202" s="74" t="s">
        <v>20</v>
      </c>
      <c r="D202" s="74"/>
      <c r="E202" s="74" t="s">
        <v>25</v>
      </c>
      <c r="F202" s="22"/>
      <c r="G202" s="146" t="s">
        <v>22</v>
      </c>
      <c r="H202" s="159" t="n">
        <v>4</v>
      </c>
      <c r="I202" s="148" t="n">
        <v>2</v>
      </c>
      <c r="J202" s="148" t="n">
        <v>2</v>
      </c>
      <c r="K202" s="149" t="n">
        <v>3312.63</v>
      </c>
      <c r="L202" s="149" t="n">
        <f aca="false">M202+N202</f>
        <v>2784.03</v>
      </c>
      <c r="M202" s="149" t="n">
        <v>2784.03</v>
      </c>
      <c r="N202" s="190"/>
      <c r="O202" s="151" t="n">
        <v>2</v>
      </c>
      <c r="P202" s="149" t="n">
        <v>4329.79</v>
      </c>
      <c r="Q202" s="149" t="n">
        <f aca="false">R202+S202</f>
        <v>4329.79</v>
      </c>
      <c r="R202" s="149" t="n">
        <v>4329.79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72"/>
      <c r="B203" s="73"/>
      <c r="C203" s="73"/>
      <c r="D203" s="73"/>
      <c r="E203" s="73"/>
      <c r="F203" s="42" t="s">
        <v>212</v>
      </c>
      <c r="G203" s="164" t="s">
        <v>26</v>
      </c>
      <c r="H203" s="171" t="n">
        <v>4</v>
      </c>
      <c r="I203" s="165" t="n">
        <v>1</v>
      </c>
      <c r="J203" s="165" t="n">
        <v>1</v>
      </c>
      <c r="K203" s="166" t="n">
        <v>1409.6</v>
      </c>
      <c r="L203" s="166" t="n">
        <f aca="false">M203+N203</f>
        <v>1409.6</v>
      </c>
      <c r="M203" s="166" t="n">
        <f aca="false">1409.6</f>
        <v>1409.6</v>
      </c>
      <c r="N203" s="156"/>
      <c r="O203" s="168" t="n">
        <v>2</v>
      </c>
      <c r="P203" s="166" t="n">
        <v>1321.5</v>
      </c>
      <c r="Q203" s="166" t="n">
        <f aca="false">R203+S203</f>
        <v>1321.5</v>
      </c>
      <c r="R203" s="166" t="n">
        <f aca="false">1321.5</f>
        <v>1321.5</v>
      </c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72"/>
      <c r="B204" s="73" t="s">
        <v>134</v>
      </c>
      <c r="C204" s="74" t="s">
        <v>20</v>
      </c>
      <c r="D204" s="74"/>
      <c r="E204" s="74" t="s">
        <v>25</v>
      </c>
      <c r="F204" s="20"/>
      <c r="G204" s="146" t="s">
        <v>22</v>
      </c>
      <c r="H204" s="169"/>
      <c r="I204" s="148"/>
      <c r="J204" s="148"/>
      <c r="K204" s="149"/>
      <c r="L204" s="149" t="n">
        <f aca="false">M204+N204</f>
        <v>0</v>
      </c>
      <c r="M204" s="149"/>
      <c r="N204" s="190"/>
      <c r="O204" s="151" t="n">
        <v>1</v>
      </c>
      <c r="P204" s="149" t="n">
        <v>13019.26</v>
      </c>
      <c r="Q204" s="149" t="n">
        <f aca="false">R204+S204</f>
        <v>13019.26</v>
      </c>
      <c r="R204" s="149" t="n">
        <v>13019.26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72"/>
      <c r="B205" s="73"/>
      <c r="C205" s="73"/>
      <c r="D205" s="73"/>
      <c r="E205" s="73"/>
      <c r="F205" s="42" t="s">
        <v>213</v>
      </c>
      <c r="G205" s="164" t="s">
        <v>26</v>
      </c>
      <c r="H205" s="153" t="n">
        <v>3</v>
      </c>
      <c r="I205" s="165"/>
      <c r="J205" s="165"/>
      <c r="K205" s="166"/>
      <c r="L205" s="166" t="n">
        <f aca="false">M205+N205</f>
        <v>0</v>
      </c>
      <c r="M205" s="166"/>
      <c r="N205" s="156"/>
      <c r="O205" s="168" t="n">
        <v>5</v>
      </c>
      <c r="P205" s="166" t="n">
        <v>23840.15</v>
      </c>
      <c r="Q205" s="166" t="n">
        <f aca="false">R205+S205</f>
        <v>19875.62</v>
      </c>
      <c r="R205" s="166" t="n">
        <f aca="false">19875.62</f>
        <v>19875.62</v>
      </c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" hidden="false" customHeight="true" outlineLevel="0" collapsed="false">
      <c r="A206" s="17"/>
      <c r="B206" s="18" t="s">
        <v>135</v>
      </c>
      <c r="C206" s="19" t="s">
        <v>20</v>
      </c>
      <c r="D206" s="19"/>
      <c r="E206" s="19" t="s">
        <v>69</v>
      </c>
      <c r="F206" s="22"/>
      <c r="G206" s="146" t="s">
        <v>22</v>
      </c>
      <c r="H206" s="159" t="n">
        <v>10</v>
      </c>
      <c r="I206" s="148" t="n">
        <v>4</v>
      </c>
      <c r="J206" s="148" t="n">
        <v>4</v>
      </c>
      <c r="K206" s="149" t="n">
        <v>5030.51</v>
      </c>
      <c r="L206" s="149" t="n">
        <f aca="false">M206+N206</f>
        <v>4158.32</v>
      </c>
      <c r="M206" s="149" t="n">
        <v>4158.32</v>
      </c>
      <c r="N206" s="190"/>
      <c r="O206" s="151" t="n">
        <v>12</v>
      </c>
      <c r="P206" s="149" t="n">
        <v>22594.45</v>
      </c>
      <c r="Q206" s="149" t="n">
        <f aca="false">R206+S206</f>
        <v>16446.2</v>
      </c>
      <c r="R206" s="149" t="n">
        <v>16446.2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26" t="s">
        <v>277</v>
      </c>
      <c r="G207" s="152" t="s">
        <v>26</v>
      </c>
      <c r="H207" s="171" t="n">
        <v>6</v>
      </c>
      <c r="I207" s="154"/>
      <c r="J207" s="154" t="n">
        <v>2</v>
      </c>
      <c r="K207" s="155" t="n">
        <v>1409.6</v>
      </c>
      <c r="L207" s="155" t="n">
        <f aca="false">M207+N207</f>
        <v>0</v>
      </c>
      <c r="M207" s="155"/>
      <c r="N207" s="156"/>
      <c r="O207" s="157" t="n">
        <v>2</v>
      </c>
      <c r="P207" s="155" t="n">
        <v>2292.9</v>
      </c>
      <c r="Q207" s="155" t="n">
        <f aca="false">R207+S207</f>
        <v>792.9</v>
      </c>
      <c r="R207" s="155" t="n">
        <f aca="false">792.9</f>
        <v>792.9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34" t="s">
        <v>136</v>
      </c>
      <c r="C208" s="35" t="s">
        <v>20</v>
      </c>
      <c r="D208" s="35"/>
      <c r="E208" s="35" t="s">
        <v>98</v>
      </c>
      <c r="F208" s="36"/>
      <c r="G208" s="146" t="s">
        <v>22</v>
      </c>
      <c r="H208" s="159" t="n">
        <v>18</v>
      </c>
      <c r="I208" s="160" t="n">
        <v>9</v>
      </c>
      <c r="J208" s="160" t="n">
        <v>12</v>
      </c>
      <c r="K208" s="161" t="n">
        <v>20218.61</v>
      </c>
      <c r="L208" s="161" t="n">
        <f aca="false">M208+N208</f>
        <v>20218.61</v>
      </c>
      <c r="M208" s="161" t="n">
        <v>20218.61</v>
      </c>
      <c r="N208" s="190"/>
      <c r="O208" s="163" t="n">
        <v>9</v>
      </c>
      <c r="P208" s="161" t="n">
        <v>14877.54</v>
      </c>
      <c r="Q208" s="161" t="n">
        <f aca="false">R208+S208</f>
        <v>14877.54</v>
      </c>
      <c r="R208" s="161" t="n">
        <v>14877.54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34"/>
      <c r="C209" s="34"/>
      <c r="D209" s="34"/>
      <c r="E209" s="34"/>
      <c r="F209" s="42" t="s">
        <v>247</v>
      </c>
      <c r="G209" s="164" t="s">
        <v>23</v>
      </c>
      <c r="H209" s="171" t="n">
        <v>6</v>
      </c>
      <c r="I209" s="165" t="n">
        <v>6</v>
      </c>
      <c r="J209" s="165" t="n">
        <v>6</v>
      </c>
      <c r="K209" s="166" t="n">
        <v>4581.2</v>
      </c>
      <c r="L209" s="166" t="n">
        <f aca="false">M209+N209</f>
        <v>4052.6</v>
      </c>
      <c r="M209" s="166" t="n">
        <v>4052.6</v>
      </c>
      <c r="N209" s="156"/>
      <c r="O209" s="168" t="n">
        <v>7</v>
      </c>
      <c r="P209" s="166" t="n">
        <v>14800.8</v>
      </c>
      <c r="Q209" s="166" t="n">
        <v>5638.4</v>
      </c>
      <c r="R209" s="166" t="n">
        <v>5638.4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17"/>
      <c r="B210" s="18" t="s">
        <v>137</v>
      </c>
      <c r="C210" s="19" t="s">
        <v>20</v>
      </c>
      <c r="D210" s="19"/>
      <c r="E210" s="19" t="s">
        <v>25</v>
      </c>
      <c r="F210" s="20"/>
      <c r="G210" s="146" t="s">
        <v>22</v>
      </c>
      <c r="H210" s="169"/>
      <c r="I210" s="148"/>
      <c r="J210" s="148"/>
      <c r="K210" s="149"/>
      <c r="L210" s="149" t="n">
        <f aca="false">M210+N210</f>
        <v>0</v>
      </c>
      <c r="M210" s="149"/>
      <c r="N210" s="190"/>
      <c r="O210" s="151"/>
      <c r="P210" s="149"/>
      <c r="Q210" s="149" t="n">
        <f aca="false">R210+S210</f>
        <v>0</v>
      </c>
      <c r="R210" s="149"/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20.25" hidden="false" customHeight="true" outlineLevel="0" collapsed="false">
      <c r="A211" s="17"/>
      <c r="B211" s="18"/>
      <c r="C211" s="18"/>
      <c r="D211" s="18"/>
      <c r="E211" s="18"/>
      <c r="F211" s="26" t="s">
        <v>286</v>
      </c>
      <c r="G211" s="152" t="s">
        <v>26</v>
      </c>
      <c r="H211" s="153" t="n">
        <v>8</v>
      </c>
      <c r="I211" s="154" t="n">
        <v>1</v>
      </c>
      <c r="J211" s="154" t="n">
        <v>1</v>
      </c>
      <c r="K211" s="155" t="n">
        <v>1938.2</v>
      </c>
      <c r="L211" s="155" t="n">
        <f aca="false">M211+N211</f>
        <v>0</v>
      </c>
      <c r="M211" s="155"/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54"/>
      <c r="B212" s="55" t="s">
        <v>138</v>
      </c>
      <c r="C212" s="56" t="s">
        <v>33</v>
      </c>
      <c r="D212" s="56" t="s">
        <v>139</v>
      </c>
      <c r="E212" s="56" t="s">
        <v>25</v>
      </c>
      <c r="F212" s="36"/>
      <c r="G212" s="146" t="s">
        <v>22</v>
      </c>
      <c r="H212" s="169"/>
      <c r="I212" s="160"/>
      <c r="J212" s="160"/>
      <c r="K212" s="161"/>
      <c r="L212" s="161" t="n">
        <f aca="false">M212+N212</f>
        <v>0</v>
      </c>
      <c r="M212" s="161"/>
      <c r="N212" s="190"/>
      <c r="O212" s="163"/>
      <c r="P212" s="161"/>
      <c r="Q212" s="161" t="n">
        <f aca="false">R212+S212</f>
        <v>0</v>
      </c>
      <c r="R212" s="161"/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54"/>
      <c r="B213" s="55"/>
      <c r="C213" s="55"/>
      <c r="D213" s="55"/>
      <c r="E213" s="55"/>
      <c r="F213" s="26" t="s">
        <v>214</v>
      </c>
      <c r="G213" s="152" t="s">
        <v>26</v>
      </c>
      <c r="H213" s="171" t="n">
        <v>5</v>
      </c>
      <c r="I213" s="154" t="n">
        <v>2</v>
      </c>
      <c r="J213" s="154" t="n">
        <v>2</v>
      </c>
      <c r="K213" s="155" t="n">
        <v>4158.32</v>
      </c>
      <c r="L213" s="155" t="n">
        <f aca="false">M213+N213</f>
        <v>2466.8</v>
      </c>
      <c r="M213" s="155" t="n">
        <f aca="false">2466.8</f>
        <v>2466.8</v>
      </c>
      <c r="N213" s="156"/>
      <c r="O213" s="157"/>
      <c r="P213" s="155"/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" hidden="false" customHeight="true" outlineLevel="0" collapsed="false">
      <c r="A214" s="33"/>
      <c r="B214" s="34" t="s">
        <v>140</v>
      </c>
      <c r="C214" s="35" t="s">
        <v>20</v>
      </c>
      <c r="D214" s="35"/>
      <c r="E214" s="35" t="s">
        <v>141</v>
      </c>
      <c r="F214" s="36"/>
      <c r="G214" s="146" t="s">
        <v>22</v>
      </c>
      <c r="H214" s="159" t="n">
        <v>13</v>
      </c>
      <c r="I214" s="160" t="n">
        <v>3</v>
      </c>
      <c r="J214" s="160" t="n">
        <v>3</v>
      </c>
      <c r="K214" s="161" t="n">
        <v>3881.13</v>
      </c>
      <c r="L214" s="161" t="n">
        <f aca="false">M214+N214</f>
        <v>13067.09</v>
      </c>
      <c r="M214" s="161" t="n">
        <v>3881.13</v>
      </c>
      <c r="N214" s="190" t="n">
        <v>9185.96</v>
      </c>
      <c r="O214" s="163" t="n">
        <v>8</v>
      </c>
      <c r="P214" s="161" t="n">
        <v>21585.86</v>
      </c>
      <c r="Q214" s="161" t="n">
        <f aca="false">R214+S214</f>
        <v>24064.99</v>
      </c>
      <c r="R214" s="161" t="n">
        <v>21585.86</v>
      </c>
      <c r="S214" s="190" t="n">
        <v>2479.13</v>
      </c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33"/>
      <c r="B215" s="34"/>
      <c r="C215" s="34"/>
      <c r="D215" s="34"/>
      <c r="E215" s="34"/>
      <c r="F215" s="42" t="s">
        <v>215</v>
      </c>
      <c r="G215" s="164" t="s">
        <v>26</v>
      </c>
      <c r="H215" s="175" t="n">
        <v>1</v>
      </c>
      <c r="I215" s="165"/>
      <c r="J215" s="165"/>
      <c r="K215" s="166"/>
      <c r="L215" s="166" t="n">
        <f aca="false">M215+N215</f>
        <v>0</v>
      </c>
      <c r="M215" s="166"/>
      <c r="N215" s="156"/>
      <c r="O215" s="168"/>
      <c r="P215" s="166"/>
      <c r="Q215" s="166" t="n">
        <f aca="false">R215+S215</f>
        <v>0</v>
      </c>
      <c r="R215" s="166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17"/>
      <c r="B216" s="18" t="s">
        <v>251</v>
      </c>
      <c r="C216" s="19" t="s">
        <v>20</v>
      </c>
      <c r="D216" s="19"/>
      <c r="E216" s="19" t="s">
        <v>116</v>
      </c>
      <c r="F216" s="20"/>
      <c r="G216" s="146" t="s">
        <v>22</v>
      </c>
      <c r="H216" s="173" t="n">
        <v>4</v>
      </c>
      <c r="I216" s="148" t="n">
        <v>3</v>
      </c>
      <c r="J216" s="148" t="n">
        <v>3</v>
      </c>
      <c r="K216" s="149" t="n">
        <v>3851.92</v>
      </c>
      <c r="L216" s="149"/>
      <c r="M216" s="149"/>
      <c r="N216" s="190"/>
      <c r="O216" s="206"/>
      <c r="P216" s="149"/>
      <c r="Q216" s="149"/>
      <c r="R216" s="149"/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252</v>
      </c>
      <c r="G217" s="152" t="s">
        <v>26</v>
      </c>
      <c r="H217" s="174" t="n">
        <v>5</v>
      </c>
      <c r="I217" s="154"/>
      <c r="J217" s="154"/>
      <c r="K217" s="155"/>
      <c r="L217" s="155"/>
      <c r="M217" s="155"/>
      <c r="N217" s="156"/>
      <c r="O217" s="209"/>
      <c r="P217" s="155"/>
      <c r="Q217" s="155"/>
      <c r="R217" s="155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54"/>
      <c r="B218" s="55" t="s">
        <v>142</v>
      </c>
      <c r="C218" s="56" t="s">
        <v>20</v>
      </c>
      <c r="D218" s="56"/>
      <c r="E218" s="56" t="s">
        <v>25</v>
      </c>
      <c r="F218" s="36"/>
      <c r="G218" s="158" t="s">
        <v>22</v>
      </c>
      <c r="H218" s="173" t="n">
        <v>4</v>
      </c>
      <c r="I218" s="148" t="n">
        <v>3</v>
      </c>
      <c r="J218" s="148" t="n">
        <v>3</v>
      </c>
      <c r="K218" s="149" t="n">
        <v>1656.28</v>
      </c>
      <c r="L218" s="149" t="n">
        <f aca="false">M218+N218</f>
        <v>1656.28</v>
      </c>
      <c r="M218" s="149" t="n">
        <v>1656.28</v>
      </c>
      <c r="N218" s="190"/>
      <c r="O218" s="228" t="n">
        <v>4</v>
      </c>
      <c r="P218" s="161" t="n">
        <v>5104.51</v>
      </c>
      <c r="Q218" s="161" t="n">
        <f aca="false">R218+S218</f>
        <v>3342.51</v>
      </c>
      <c r="R218" s="161" t="n">
        <v>3342.51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54"/>
      <c r="B219" s="55"/>
      <c r="C219" s="55"/>
      <c r="D219" s="55"/>
      <c r="E219" s="55"/>
      <c r="F219" s="42" t="s">
        <v>216</v>
      </c>
      <c r="G219" s="164" t="s">
        <v>26</v>
      </c>
      <c r="H219" s="177" t="n">
        <v>7</v>
      </c>
      <c r="I219" s="165" t="n">
        <v>3</v>
      </c>
      <c r="J219" s="165" t="n">
        <v>3</v>
      </c>
      <c r="K219" s="166" t="n">
        <v>5990.8</v>
      </c>
      <c r="L219" s="166" t="n">
        <f aca="false">M219+N219</f>
        <v>5167.21</v>
      </c>
      <c r="M219" s="166" t="n">
        <v>5167.21</v>
      </c>
      <c r="N219" s="167"/>
      <c r="O219" s="238" t="n">
        <v>11</v>
      </c>
      <c r="P219" s="166" t="n">
        <v>7343.2</v>
      </c>
      <c r="Q219" s="166" t="n">
        <f aca="false">R219+S219</f>
        <v>4876.19</v>
      </c>
      <c r="R219" s="166" t="n">
        <f aca="false">823.59+1233.4+2819.2</f>
        <v>4876.19</v>
      </c>
      <c r="S219" s="167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287</v>
      </c>
      <c r="C220" s="56" t="s">
        <v>20</v>
      </c>
      <c r="D220" s="19"/>
      <c r="E220" s="56" t="s">
        <v>25</v>
      </c>
      <c r="F220" s="20"/>
      <c r="G220" s="146" t="s">
        <v>22</v>
      </c>
      <c r="H220" s="147"/>
      <c r="I220" s="148"/>
      <c r="J220" s="148"/>
      <c r="K220" s="149"/>
      <c r="L220" s="149" t="n">
        <f aca="false">M220+N220</f>
        <v>0</v>
      </c>
      <c r="M220" s="149"/>
      <c r="N220" s="150"/>
      <c r="O220" s="206"/>
      <c r="P220" s="149"/>
      <c r="Q220" s="149" t="n">
        <f aca="false">R220+S220</f>
        <v>0</v>
      </c>
      <c r="R220" s="149"/>
      <c r="S220" s="15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17"/>
      <c r="B221" s="18"/>
      <c r="C221" s="18"/>
      <c r="D221" s="18"/>
      <c r="E221" s="18"/>
      <c r="F221" s="26" t="s">
        <v>288</v>
      </c>
      <c r="G221" s="152" t="s">
        <v>26</v>
      </c>
      <c r="H221" s="176" t="n">
        <v>3</v>
      </c>
      <c r="I221" s="154" t="n">
        <v>3</v>
      </c>
      <c r="J221" s="154" t="n">
        <v>3</v>
      </c>
      <c r="K221" s="155" t="n">
        <v>3171.6</v>
      </c>
      <c r="L221" s="155" t="n">
        <f aca="false">M221+N221</f>
        <v>0</v>
      </c>
      <c r="M221" s="155"/>
      <c r="N221" s="156"/>
      <c r="O221" s="209"/>
      <c r="P221" s="155"/>
      <c r="Q221" s="155" t="n">
        <f aca="false">R221+S221</f>
        <v>0</v>
      </c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33"/>
      <c r="B222" s="34" t="s">
        <v>143</v>
      </c>
      <c r="C222" s="35" t="s">
        <v>20</v>
      </c>
      <c r="D222" s="35"/>
      <c r="E222" s="35" t="s">
        <v>25</v>
      </c>
      <c r="F222" s="36"/>
      <c r="G222" s="158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 t="n">
        <v>1</v>
      </c>
      <c r="P222" s="161" t="n">
        <v>1515.67</v>
      </c>
      <c r="Q222" s="161" t="n">
        <f aca="false">R222+S222</f>
        <v>1515.67</v>
      </c>
      <c r="R222" s="161" t="n">
        <v>1515.67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33"/>
      <c r="B223" s="34"/>
      <c r="C223" s="34"/>
      <c r="D223" s="34"/>
      <c r="E223" s="34"/>
      <c r="F223" s="42" t="s">
        <v>217</v>
      </c>
      <c r="G223" s="164" t="s">
        <v>26</v>
      </c>
      <c r="H223" s="171" t="n">
        <v>6</v>
      </c>
      <c r="I223" s="165"/>
      <c r="J223" s="165"/>
      <c r="K223" s="166"/>
      <c r="L223" s="166" t="n">
        <f aca="false">M223+N223</f>
        <v>704.8</v>
      </c>
      <c r="M223" s="166" t="n">
        <f aca="false">704.8</f>
        <v>704.8</v>
      </c>
      <c r="N223" s="156"/>
      <c r="O223" s="168" t="n">
        <v>6</v>
      </c>
      <c r="P223" s="166" t="n">
        <v>34775.2</v>
      </c>
      <c r="Q223" s="166" t="n">
        <f aca="false">R223+S223</f>
        <v>13743.6</v>
      </c>
      <c r="R223" s="166" t="n">
        <f aca="false">704.8+13038.8</f>
        <v>13743.6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18" t="s">
        <v>144</v>
      </c>
      <c r="C224" s="19" t="s">
        <v>20</v>
      </c>
      <c r="D224" s="19"/>
      <c r="E224" s="19" t="s">
        <v>81</v>
      </c>
      <c r="F224" s="20"/>
      <c r="G224" s="146" t="s">
        <v>22</v>
      </c>
      <c r="H224" s="159" t="n">
        <v>8</v>
      </c>
      <c r="I224" s="148" t="n">
        <v>7</v>
      </c>
      <c r="J224" s="148" t="n">
        <v>7</v>
      </c>
      <c r="K224" s="149" t="n">
        <v>6542.31</v>
      </c>
      <c r="L224" s="149" t="n">
        <f aca="false">M224+N224</f>
        <v>2096.78</v>
      </c>
      <c r="M224" s="149" t="n">
        <v>2096.78</v>
      </c>
      <c r="N224" s="190"/>
      <c r="O224" s="151" t="n">
        <v>5</v>
      </c>
      <c r="P224" s="149" t="n">
        <v>16284.3</v>
      </c>
      <c r="Q224" s="149" t="n">
        <f aca="false">R224+S224</f>
        <v>3636.77</v>
      </c>
      <c r="R224" s="149" t="n">
        <v>3636.77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18"/>
      <c r="C225" s="18"/>
      <c r="D225" s="18"/>
      <c r="E225" s="18"/>
      <c r="F225" s="26" t="s">
        <v>218</v>
      </c>
      <c r="G225" s="152" t="s">
        <v>26</v>
      </c>
      <c r="H225" s="171" t="n">
        <v>6</v>
      </c>
      <c r="I225" s="154" t="n">
        <v>2</v>
      </c>
      <c r="J225" s="154" t="n">
        <v>2</v>
      </c>
      <c r="K225" s="155" t="n">
        <v>4052.6</v>
      </c>
      <c r="L225" s="155" t="n">
        <f aca="false">M225+N225</f>
        <v>4052.6</v>
      </c>
      <c r="M225" s="155" t="n">
        <f aca="false">4052.6</f>
        <v>4052.6</v>
      </c>
      <c r="N225" s="156"/>
      <c r="O225" s="157" t="n">
        <v>2</v>
      </c>
      <c r="P225" s="155" t="n">
        <v>4493.1</v>
      </c>
      <c r="Q225" s="155" t="n">
        <f aca="false">R225+S225</f>
        <v>4493.1</v>
      </c>
      <c r="R225" s="155" t="n">
        <f aca="false">4493.1</f>
        <v>4493.1</v>
      </c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34" t="s">
        <v>145</v>
      </c>
      <c r="C226" s="35" t="s">
        <v>20</v>
      </c>
      <c r="D226" s="35"/>
      <c r="E226" s="35" t="s">
        <v>98</v>
      </c>
      <c r="F226" s="36"/>
      <c r="G226" s="146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71"/>
      <c r="G227" s="164" t="s">
        <v>23</v>
      </c>
      <c r="H227" s="175"/>
      <c r="I227" s="165"/>
      <c r="J227" s="165"/>
      <c r="K227" s="166"/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17"/>
      <c r="B228" s="18" t="s">
        <v>146</v>
      </c>
      <c r="C228" s="19" t="s">
        <v>20</v>
      </c>
      <c r="D228" s="19"/>
      <c r="E228" s="19" t="s">
        <v>25</v>
      </c>
      <c r="F228" s="22"/>
      <c r="G228" s="146" t="s">
        <v>22</v>
      </c>
      <c r="H228" s="173" t="n">
        <v>8</v>
      </c>
      <c r="I228" s="148" t="n">
        <v>4</v>
      </c>
      <c r="J228" s="148" t="n">
        <v>4</v>
      </c>
      <c r="K228" s="149" t="n">
        <v>2819.2</v>
      </c>
      <c r="L228" s="149" t="n">
        <f aca="false">M228+N228</f>
        <v>2819.2</v>
      </c>
      <c r="M228" s="149" t="n">
        <v>2819.2</v>
      </c>
      <c r="N228" s="190"/>
      <c r="O228" s="206" t="n">
        <v>1</v>
      </c>
      <c r="P228" s="149" t="n">
        <v>1546.68</v>
      </c>
      <c r="Q228" s="149" t="n">
        <f aca="false">R228+S228</f>
        <v>1546.68</v>
      </c>
      <c r="R228" s="149" t="n">
        <v>1546.68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42" t="s">
        <v>219</v>
      </c>
      <c r="G229" s="164" t="s">
        <v>26</v>
      </c>
      <c r="H229" s="178" t="n">
        <v>1</v>
      </c>
      <c r="I229" s="165"/>
      <c r="J229" s="165"/>
      <c r="K229" s="166"/>
      <c r="L229" s="166" t="n">
        <f aca="false">M229+N229</f>
        <v>0</v>
      </c>
      <c r="M229" s="166" t="n">
        <v>0</v>
      </c>
      <c r="N229" s="167"/>
      <c r="O229" s="238" t="n">
        <v>1</v>
      </c>
      <c r="P229" s="166" t="n">
        <v>1585.8</v>
      </c>
      <c r="Q229" s="166" t="n">
        <f aca="false">R229+S229</f>
        <v>1585.8</v>
      </c>
      <c r="R229" s="166" t="n">
        <v>1585.8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289</v>
      </c>
      <c r="C230" s="19"/>
      <c r="D230" s="19"/>
      <c r="E230" s="19"/>
      <c r="F230" s="20"/>
      <c r="G230" s="146" t="s">
        <v>22</v>
      </c>
      <c r="H230" s="173" t="n">
        <v>1</v>
      </c>
      <c r="I230" s="148"/>
      <c r="J230" s="148"/>
      <c r="K230" s="149"/>
      <c r="L230" s="149" t="n">
        <f aca="false">M230+N230</f>
        <v>0</v>
      </c>
      <c r="M230" s="149"/>
      <c r="N230" s="224"/>
      <c r="O230" s="151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57"/>
      <c r="G231" s="152" t="s">
        <v>23</v>
      </c>
      <c r="H231" s="174" t="n">
        <v>1</v>
      </c>
      <c r="I231" s="154" t="n">
        <v>1</v>
      </c>
      <c r="J231" s="154" t="n">
        <v>1</v>
      </c>
      <c r="K231" s="155" t="n">
        <v>2325.84</v>
      </c>
      <c r="L231" s="155" t="n">
        <v>2325.84</v>
      </c>
      <c r="M231" s="155" t="n">
        <v>2325.84</v>
      </c>
      <c r="N231" s="226"/>
      <c r="O231" s="157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55" t="s">
        <v>147</v>
      </c>
      <c r="C232" s="56" t="s">
        <v>20</v>
      </c>
      <c r="D232" s="56"/>
      <c r="E232" s="56" t="s">
        <v>25</v>
      </c>
      <c r="F232" s="97"/>
      <c r="G232" s="158" t="s">
        <v>22</v>
      </c>
      <c r="H232" s="159" t="n">
        <v>3</v>
      </c>
      <c r="I232" s="160" t="n">
        <v>3</v>
      </c>
      <c r="J232" s="160" t="n">
        <v>3</v>
      </c>
      <c r="K232" s="161" t="n">
        <v>2093.26</v>
      </c>
      <c r="L232" s="161" t="n">
        <f aca="false">M232+N232</f>
        <v>2093.26</v>
      </c>
      <c r="M232" s="161" t="n">
        <v>2093.26</v>
      </c>
      <c r="N232" s="190"/>
      <c r="O232" s="163" t="n">
        <v>4</v>
      </c>
      <c r="P232" s="161" t="n">
        <v>16436.74</v>
      </c>
      <c r="Q232" s="161" t="n">
        <f aca="false">R232+S232</f>
        <v>16436.74</v>
      </c>
      <c r="R232" s="161" t="n">
        <v>16436.74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55"/>
      <c r="C233" s="55"/>
      <c r="D233" s="55"/>
      <c r="E233" s="55"/>
      <c r="F233" s="26" t="s">
        <v>220</v>
      </c>
      <c r="G233" s="152" t="s">
        <v>26</v>
      </c>
      <c r="H233" s="171" t="n">
        <v>12</v>
      </c>
      <c r="I233" s="154" t="n">
        <v>2</v>
      </c>
      <c r="J233" s="154" t="n">
        <v>3</v>
      </c>
      <c r="K233" s="155" t="n">
        <v>9162.4</v>
      </c>
      <c r="L233" s="189" t="n">
        <f aca="false">M233+N233</f>
        <v>528.6</v>
      </c>
      <c r="M233" s="155" t="n">
        <f aca="false">528.6</f>
        <v>528.6</v>
      </c>
      <c r="N233" s="167"/>
      <c r="O233" s="157" t="n">
        <v>5</v>
      </c>
      <c r="P233" s="155" t="n">
        <v>13038.8</v>
      </c>
      <c r="Q233" s="161" t="n">
        <f aca="false">R233+S233</f>
        <v>18677.2</v>
      </c>
      <c r="R233" s="155" t="n">
        <f aca="false">7048+528.6+5638.4+5462.2</f>
        <v>18677.2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true" outlineLevel="0" collapsed="false">
      <c r="A234" s="17"/>
      <c r="B234" s="18" t="s">
        <v>148</v>
      </c>
      <c r="C234" s="19" t="s">
        <v>20</v>
      </c>
      <c r="D234" s="19"/>
      <c r="E234" s="19" t="s">
        <v>21</v>
      </c>
      <c r="F234" s="22"/>
      <c r="G234" s="146" t="s">
        <v>22</v>
      </c>
      <c r="H234" s="173" t="n">
        <v>2</v>
      </c>
      <c r="I234" s="148" t="n">
        <v>1</v>
      </c>
      <c r="J234" s="148" t="n">
        <v>1</v>
      </c>
      <c r="K234" s="149" t="n">
        <v>436.1</v>
      </c>
      <c r="L234" s="149" t="n">
        <f aca="false">M234+N234</f>
        <v>436.1</v>
      </c>
      <c r="M234" s="149" t="n">
        <v>436.1</v>
      </c>
      <c r="N234" s="198"/>
      <c r="O234" s="151" t="n">
        <v>1</v>
      </c>
      <c r="P234" s="149" t="n">
        <v>13232.99</v>
      </c>
      <c r="Q234" s="149" t="n">
        <f aca="false">R234+S234</f>
        <v>13232.99</v>
      </c>
      <c r="R234" s="149" t="n">
        <v>13232.99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248</v>
      </c>
      <c r="G235" s="152" t="s">
        <v>23</v>
      </c>
      <c r="H235" s="171" t="n">
        <v>2</v>
      </c>
      <c r="I235" s="154"/>
      <c r="J235" s="154"/>
      <c r="K235" s="155"/>
      <c r="L235" s="155" t="n">
        <f aca="false">M235+N235</f>
        <v>0</v>
      </c>
      <c r="M235" s="155"/>
      <c r="N235" s="156"/>
      <c r="O235" s="157" t="n">
        <v>1</v>
      </c>
      <c r="P235" s="155" t="n">
        <v>572.65</v>
      </c>
      <c r="Q235" s="155" t="n">
        <v>572.65</v>
      </c>
      <c r="R235" s="155" t="n">
        <v>572.65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99"/>
      <c r="B236" s="100" t="s">
        <v>149</v>
      </c>
      <c r="C236" s="100"/>
      <c r="D236" s="100"/>
      <c r="E236" s="100"/>
      <c r="F236" s="100"/>
      <c r="G236" s="212"/>
      <c r="H236" s="213" t="n">
        <f aca="false">SUM(H9:H235)</f>
        <v>1365</v>
      </c>
      <c r="I236" s="214" t="n">
        <f aca="false">SUM(I9:I235)</f>
        <v>640</v>
      </c>
      <c r="J236" s="214" t="n">
        <f aca="false">SUM(J9:J235)</f>
        <v>708</v>
      </c>
      <c r="K236" s="215" t="n">
        <f aca="false">SUM(K9:K235)</f>
        <v>973886.23</v>
      </c>
      <c r="L236" s="215" t="n">
        <f aca="false">SUM(L9:L235)</f>
        <v>759794.2</v>
      </c>
      <c r="M236" s="215" t="n">
        <f aca="false">SUM(M9:M235)</f>
        <v>680363.47</v>
      </c>
      <c r="N236" s="243" t="n">
        <f aca="false">SUM(N9:N235)</f>
        <v>88101.64</v>
      </c>
      <c r="O236" s="244" t="n">
        <f aca="false">SUM(O9:O235)</f>
        <v>839</v>
      </c>
      <c r="P236" s="245" t="n">
        <f aca="false">SUM(P9:P235)</f>
        <v>2395627.49</v>
      </c>
      <c r="Q236" s="245" t="n">
        <f aca="false">SUM(Q9:Q235)</f>
        <v>2016538.96</v>
      </c>
      <c r="R236" s="245" t="n">
        <f aca="false">SUM(R9:R235)</f>
        <v>1878989.43</v>
      </c>
      <c r="S236" s="246" t="n">
        <f aca="false">SUM(S9:S235)</f>
        <v>156226.23</v>
      </c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I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 t="s">
        <v>290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2"/>
      <c r="B240" s="2"/>
      <c r="C240" s="2"/>
      <c r="D240" s="2"/>
      <c r="E240" s="2"/>
      <c r="F240" s="103"/>
      <c r="G240" s="104" t="s">
        <v>5</v>
      </c>
      <c r="H240" s="104"/>
      <c r="I240" s="104"/>
      <c r="J240" s="104"/>
      <c r="K240" s="104"/>
      <c r="L240" s="104"/>
      <c r="M240" s="104"/>
      <c r="N240" s="104" t="s">
        <v>6</v>
      </c>
      <c r="O240" s="104"/>
      <c r="P240" s="104"/>
      <c r="Q240" s="104"/>
      <c r="R240" s="104"/>
      <c r="S240" s="105" t="s">
        <v>150</v>
      </c>
      <c r="T240" s="105" t="s">
        <v>253</v>
      </c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103"/>
      <c r="G241" s="106" t="s">
        <v>13</v>
      </c>
      <c r="H241" s="106" t="s">
        <v>14</v>
      </c>
      <c r="I241" s="106" t="s">
        <v>15</v>
      </c>
      <c r="J241" s="106" t="s">
        <v>226</v>
      </c>
      <c r="K241" s="106" t="s">
        <v>16</v>
      </c>
      <c r="L241" s="106" t="s">
        <v>17</v>
      </c>
      <c r="M241" s="106" t="s">
        <v>18</v>
      </c>
      <c r="N241" s="106" t="s">
        <v>15</v>
      </c>
      <c r="O241" s="106" t="s">
        <v>226</v>
      </c>
      <c r="P241" s="106" t="s">
        <v>16</v>
      </c>
      <c r="Q241" s="106" t="s">
        <v>17</v>
      </c>
      <c r="R241" s="106" t="s">
        <v>18</v>
      </c>
      <c r="S241" s="105"/>
      <c r="T241" s="105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107" t="s">
        <v>22</v>
      </c>
      <c r="G242" s="108" t="n">
        <f aca="false">SUMIF($G$9:$G$235,$F$242,H9:H235)</f>
        <v>855</v>
      </c>
      <c r="H242" s="108" t="n">
        <f aca="false">SUMIF($G$9:$G$235,$F$242,I9:I235)</f>
        <v>470</v>
      </c>
      <c r="I242" s="108" t="n">
        <f aca="false">SUMIF($G$9:$G$235,$F$242,J9:J235)</f>
        <v>533</v>
      </c>
      <c r="J242" s="110" t="n">
        <f aca="false">SUMIF($G$9:$G$235,F242,$K$9:$K$235)</f>
        <v>698734.28</v>
      </c>
      <c r="K242" s="110" t="n">
        <f aca="false">SUMIF($G$9:$G$235,$F$242,L9:L235)</f>
        <v>638791.33</v>
      </c>
      <c r="L242" s="110" t="n">
        <f aca="false">SUMIF($G$9:$G$235,$F$242,M9:M235)</f>
        <v>578194.11</v>
      </c>
      <c r="M242" s="110" t="n">
        <f aca="false">SUMIF($G$9:$G$235,$F$242,N9:N235)</f>
        <v>60597.22</v>
      </c>
      <c r="N242" s="108" t="n">
        <f aca="false">SUMIF($G$9:$G$235,$F$242,O9:O235)</f>
        <v>550</v>
      </c>
      <c r="O242" s="110" t="n">
        <f aca="false">SUMIF($G$9:$G$235,F242,$P$9:$P$235)</f>
        <v>1737613.22</v>
      </c>
      <c r="P242" s="110" t="n">
        <f aca="false">SUMIF($G$9:$G$235,$F$242,Q9:Q235)</f>
        <v>1508224.5</v>
      </c>
      <c r="Q242" s="110" t="n">
        <f aca="false">SUMIF($G$9:$G$235,$F$242,R9:R235)</f>
        <v>1400258.79</v>
      </c>
      <c r="R242" s="110" t="n">
        <f aca="false">SUMIF($G$9:$G$235,$F$242,S9:S235)</f>
        <v>107965.71</v>
      </c>
      <c r="S242" s="110" t="n">
        <f aca="false">Q242+L242</f>
        <v>1978452.9</v>
      </c>
      <c r="T242" s="111" t="n">
        <f aca="false">J242-L242+O242-Q242</f>
        <v>457894.600000001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107" t="s">
        <v>26</v>
      </c>
      <c r="G243" s="108" t="n">
        <f aca="false">SUMIF($G$9:$G$235,$F$243,H9:H235)</f>
        <v>313</v>
      </c>
      <c r="H243" s="108" t="n">
        <v>20</v>
      </c>
      <c r="I243" s="108" t="n">
        <f aca="false">SUMIF($G$9:$G$235,$F$243,J9:J235)</f>
        <v>93</v>
      </c>
      <c r="J243" s="110" t="n">
        <f aca="false">SUMIF($G$9:$G$235,F243,$K$9:$K$235)</f>
        <v>176885.94</v>
      </c>
      <c r="K243" s="110" t="n">
        <f aca="false">SUMIF($G$9:$G$235,$F$243,L9:L235)</f>
        <v>85164.74</v>
      </c>
      <c r="L243" s="110" t="n">
        <f aca="false">SUMIF($G$9:$G$235,$F$243,M9:M235)</f>
        <v>67036.03</v>
      </c>
      <c r="M243" s="110" t="n">
        <f aca="false">SUMIF($G$9:$G$235,$F$243,N9:N235)</f>
        <v>18128.71</v>
      </c>
      <c r="N243" s="108" t="n">
        <f aca="false">SUMIF($G$9:$G$235,$F$243,O9:O235)</f>
        <v>193</v>
      </c>
      <c r="O243" s="110" t="n">
        <f aca="false">SUMIF($G$9:$G$235,F243,$P$9:$P$235)</f>
        <v>450001.6</v>
      </c>
      <c r="P243" s="110" t="n">
        <f aca="false">SUMIF($G$9:$G$235,$F$243,Q9:Q235)</f>
        <v>388447.79</v>
      </c>
      <c r="Q243" s="110" t="n">
        <f aca="false">SUMIF($G$9:$G$235,$F$243,R9:R235)</f>
        <v>358863.97</v>
      </c>
      <c r="R243" s="110" t="n">
        <f aca="false">SUMIF($G$9:$G$235,$F$243,S9:S235)</f>
        <v>29583.82</v>
      </c>
      <c r="S243" s="110" t="n">
        <f aca="false">Q243+L243</f>
        <v>425900</v>
      </c>
      <c r="T243" s="111" t="n">
        <f aca="false">J243-L243+O243-Q243</f>
        <v>200987.54</v>
      </c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107" t="s">
        <v>23</v>
      </c>
      <c r="G244" s="108" t="n">
        <f aca="false">SUMIF($G$9:$G$235,$F$244,H9:H235)</f>
        <v>197</v>
      </c>
      <c r="H244" s="108" t="n">
        <f aca="false">SUMIF($G$9:$G$235,$F$244,I9:I235)</f>
        <v>82</v>
      </c>
      <c r="I244" s="108" t="n">
        <f aca="false">SUMIF($G$9:$G$235,$F$244,J9:J235)</f>
        <v>82</v>
      </c>
      <c r="J244" s="110" t="n">
        <f aca="false">SUMIF($G$9:$G$235,F244,$K$9:$K$235)</f>
        <v>98266.01</v>
      </c>
      <c r="K244" s="110" t="n">
        <f aca="false">SUMIF($G$9:$G$235,$F$244,L9:L235)</f>
        <v>35838.13</v>
      </c>
      <c r="L244" s="110" t="n">
        <f aca="false">SUMIF($G$9:$G$235,$F$244,M9:M235)</f>
        <v>35133.33</v>
      </c>
      <c r="M244" s="110" t="n">
        <f aca="false">SUMIF($G$9:$G$235,$F$244,N9:N235)</f>
        <v>9375.71</v>
      </c>
      <c r="N244" s="108" t="n">
        <f aca="false">SUMIF($G$9:$G$235,$F$244,O9:O235)</f>
        <v>96</v>
      </c>
      <c r="O244" s="110" t="n">
        <f aca="false">SUMIF($G$9:$G$235,F244,$P$9:$P$235)</f>
        <v>208012.67</v>
      </c>
      <c r="P244" s="110" t="n">
        <f aca="false">SUMIF($G$9:$G$235,$F$244,Q9:Q235)</f>
        <v>119866.67</v>
      </c>
      <c r="Q244" s="110" t="n">
        <f aca="false">SUMIF($G$9:$G$235,$F$244,R9:R235)</f>
        <v>119866.67</v>
      </c>
      <c r="R244" s="110" t="n">
        <f aca="false">SUMIF($G$9:$G$235,$F$244,S9:S235)</f>
        <v>18676.7</v>
      </c>
      <c r="S244" s="110" t="n">
        <f aca="false">Q244+L244</f>
        <v>155000</v>
      </c>
      <c r="T244" s="111" t="n">
        <f aca="false">J244-L244+O244-Q244</f>
        <v>151278.68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16" t="n">
        <f aca="false">G244+G243+G242</f>
        <v>1365</v>
      </c>
      <c r="H245" s="216" t="n">
        <f aca="false">H244+H243+H242</f>
        <v>572</v>
      </c>
      <c r="I245" s="216" t="n">
        <f aca="false">I244+I243+I242</f>
        <v>708</v>
      </c>
      <c r="J245" s="217" t="n">
        <f aca="false">J244+J243+J242</f>
        <v>973886.23</v>
      </c>
      <c r="K245" s="217" t="n">
        <f aca="false">K244+K243+K242</f>
        <v>759794.2</v>
      </c>
      <c r="L245" s="217" t="n">
        <f aca="false">L244+L243+L242</f>
        <v>680363.47</v>
      </c>
      <c r="M245" s="217" t="n">
        <f aca="false">M244+M243+M242</f>
        <v>88101.64</v>
      </c>
      <c r="N245" s="216" t="n">
        <f aca="false">N244+N243+N242</f>
        <v>839</v>
      </c>
      <c r="O245" s="217" t="n">
        <f aca="false">O244+O243+O242</f>
        <v>2395627.49</v>
      </c>
      <c r="P245" s="217" t="n">
        <f aca="false">P244+P243+P242</f>
        <v>2016538.96</v>
      </c>
      <c r="Q245" s="217" t="n">
        <f aca="false">Q244+Q243+Q242</f>
        <v>1878989.43</v>
      </c>
      <c r="R245" s="217" t="n">
        <f aca="false">R244+R243+R242</f>
        <v>156226.23</v>
      </c>
      <c r="S245" s="217" t="n">
        <f aca="false">S244+S243+S242</f>
        <v>2559352.9</v>
      </c>
      <c r="T245" s="217" t="n">
        <f aca="false">T244+T243+T242</f>
        <v>810160.820000001</v>
      </c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K279" s="236"/>
    </row>
    <row r="280" customFormat="false" ht="15" hidden="false" customHeight="false" outlineLevel="0" collapsed="false">
      <c r="K280" s="236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F306" s="0" t="s">
        <v>22</v>
      </c>
      <c r="G306" s="0" t="n">
        <v>855</v>
      </c>
      <c r="H306" s="247" t="n">
        <v>470</v>
      </c>
      <c r="I306" s="247" t="n">
        <v>533</v>
      </c>
      <c r="J306" s="0" t="n">
        <v>698634.28</v>
      </c>
      <c r="K306" s="236" t="n">
        <v>578741.37</v>
      </c>
      <c r="L306" s="0" t="n">
        <v>208301.67</v>
      </c>
      <c r="M306" s="0" t="n">
        <v>370439.7</v>
      </c>
      <c r="N306" s="0" t="n">
        <v>549</v>
      </c>
      <c r="O306" s="0" t="n">
        <v>1707859.19</v>
      </c>
      <c r="P306" s="0" t="n">
        <v>1387209.08</v>
      </c>
      <c r="Q306" s="0" t="n">
        <v>868523.33</v>
      </c>
      <c r="R306" s="0" t="n">
        <v>518685.75</v>
      </c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</sheetData>
  <mergeCells count="56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1"/>
    <mergeCell ref="B99:B101"/>
    <mergeCell ref="C99:C101"/>
    <mergeCell ref="D99:D101"/>
    <mergeCell ref="E99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2"/>
    <mergeCell ref="B120:B122"/>
    <mergeCell ref="C120:C122"/>
    <mergeCell ref="D120:D122"/>
    <mergeCell ref="E120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3"/>
    <mergeCell ref="B131:B133"/>
    <mergeCell ref="C131:C133"/>
    <mergeCell ref="D131:D133"/>
    <mergeCell ref="E131:E133"/>
    <mergeCell ref="A134:A135"/>
    <mergeCell ref="B134:B135"/>
    <mergeCell ref="C134:C135"/>
    <mergeCell ref="D134:D135"/>
    <mergeCell ref="E134:E135"/>
    <mergeCell ref="A136:A138"/>
    <mergeCell ref="B136:B138"/>
    <mergeCell ref="C136:C138"/>
    <mergeCell ref="D136:D138"/>
    <mergeCell ref="E136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1"/>
    <mergeCell ref="B169:B171"/>
    <mergeCell ref="C169:C171"/>
    <mergeCell ref="D169:D171"/>
    <mergeCell ref="E169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B178:B179"/>
    <mergeCell ref="D178:D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F240:F241"/>
    <mergeCell ref="G240:M240"/>
    <mergeCell ref="N240:R240"/>
    <mergeCell ref="S240:S241"/>
    <mergeCell ref="T240:T241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6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11</v>
      </c>
      <c r="P9" s="149" t="n">
        <v>28887.49</v>
      </c>
      <c r="Q9" s="149" t="n">
        <f aca="false">R9+S9</f>
        <v>24236.65</v>
      </c>
      <c r="R9" s="149" t="n">
        <v>24236.65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19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28456.91</v>
      </c>
      <c r="N11" s="239"/>
      <c r="O11" s="151" t="n">
        <v>7</v>
      </c>
      <c r="P11" s="149" t="n">
        <v>30607.11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24</v>
      </c>
      <c r="I13" s="148" t="n">
        <v>18</v>
      </c>
      <c r="J13" s="148" t="n">
        <v>25</v>
      </c>
      <c r="K13" s="149" t="n">
        <v>27499.9</v>
      </c>
      <c r="L13" s="149" t="n">
        <f aca="false">M13+N13</f>
        <v>26104.4</v>
      </c>
      <c r="M13" s="149" t="n">
        <v>22535.38</v>
      </c>
      <c r="N13" s="249" t="n">
        <v>3569.02</v>
      </c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4</v>
      </c>
      <c r="I14" s="154" t="n">
        <v>3</v>
      </c>
      <c r="J14" s="154" t="n">
        <v>3</v>
      </c>
      <c r="K14" s="155" t="n">
        <v>5462.2</v>
      </c>
      <c r="L14" s="155" t="n">
        <f aca="false">M14+N14</f>
        <v>1938.2</v>
      </c>
      <c r="M14" s="155" t="n">
        <f aca="false">1938.2</f>
        <v>1938.2</v>
      </c>
      <c r="N14" s="156"/>
      <c r="O14" s="209" t="n">
        <v>6</v>
      </c>
      <c r="P14" s="155" t="n">
        <v>11273.8</v>
      </c>
      <c r="Q14" s="155" t="n">
        <f aca="false">R14+S14</f>
        <v>10916.3</v>
      </c>
      <c r="R14" s="155" t="n">
        <f aca="false">1585.8+2106.3+5109.8+2114.4</f>
        <v>10916.3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0</v>
      </c>
      <c r="R15" s="149" t="n">
        <v>0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1</v>
      </c>
      <c r="J16" s="165" t="n">
        <v>1</v>
      </c>
      <c r="K16" s="166" t="n">
        <v>2643</v>
      </c>
      <c r="L16" s="166" t="n">
        <f aca="false">M16+N16</f>
        <v>2643</v>
      </c>
      <c r="M16" s="166"/>
      <c r="N16" s="156" t="n">
        <f aca="false">2643</f>
        <v>2643</v>
      </c>
      <c r="O16" s="168" t="n">
        <v>4</v>
      </c>
      <c r="P16" s="166" t="n">
        <v>19515.9</v>
      </c>
      <c r="Q16" s="166" t="n">
        <f aca="false">R16+S16</f>
        <v>12510.2</v>
      </c>
      <c r="R16" s="166" t="n">
        <f aca="false">10924.4</f>
        <v>10924.4</v>
      </c>
      <c r="S16" s="167" t="n">
        <f aca="false">1585.8</f>
        <v>1585.8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 t="n">
        <v>1</v>
      </c>
      <c r="J17" s="148" t="n">
        <v>1</v>
      </c>
      <c r="K17" s="149" t="n">
        <v>528.6</v>
      </c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5</v>
      </c>
      <c r="I18" s="154" t="n">
        <v>2</v>
      </c>
      <c r="J18" s="154" t="n">
        <v>2</v>
      </c>
      <c r="K18" s="155" t="n">
        <v>1389.4</v>
      </c>
      <c r="L18" s="155" t="n">
        <f aca="false">M18+N18</f>
        <v>704.8</v>
      </c>
      <c r="M18" s="155" t="n">
        <f aca="false">704.8</f>
        <v>704.8</v>
      </c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16</v>
      </c>
      <c r="I19" s="160" t="n">
        <v>9</v>
      </c>
      <c r="J19" s="160" t="n">
        <v>10</v>
      </c>
      <c r="K19" s="161" t="n">
        <v>13377.14</v>
      </c>
      <c r="L19" s="161" t="n">
        <f aca="false">M19+N19</f>
        <v>4012.08</v>
      </c>
      <c r="M19" s="161" t="n">
        <v>4012.08</v>
      </c>
      <c r="N19" s="190"/>
      <c r="O19" s="163" t="n">
        <v>17</v>
      </c>
      <c r="P19" s="161" t="n">
        <v>36873.8</v>
      </c>
      <c r="Q19" s="161" t="n">
        <f aca="false">R19+S19</f>
        <v>17766.28</v>
      </c>
      <c r="R19" s="161" t="n">
        <v>17766.28</v>
      </c>
      <c r="S19" s="190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3</v>
      </c>
      <c r="I20" s="154" t="n">
        <v>1</v>
      </c>
      <c r="J20" s="154" t="n">
        <v>1</v>
      </c>
      <c r="K20" s="155" t="n">
        <v>1762</v>
      </c>
      <c r="L20" s="155" t="n">
        <f aca="false">M20+N20</f>
        <v>0</v>
      </c>
      <c r="M20" s="155"/>
      <c r="N20" s="156"/>
      <c r="O20" s="157" t="n">
        <v>3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22</v>
      </c>
      <c r="I21" s="160" t="n">
        <v>15</v>
      </c>
      <c r="J21" s="160" t="n">
        <v>21</v>
      </c>
      <c r="K21" s="161" t="n">
        <v>24073.32</v>
      </c>
      <c r="L21" s="161" t="n">
        <f aca="false">M21+N21</f>
        <v>24311.18</v>
      </c>
      <c r="M21" s="161" t="n">
        <v>15483.57</v>
      </c>
      <c r="N21" s="190" t="n">
        <v>8827.61</v>
      </c>
      <c r="O21" s="151" t="n">
        <v>18</v>
      </c>
      <c r="P21" s="149" t="n">
        <v>34926.57</v>
      </c>
      <c r="Q21" s="149" t="n">
        <f aca="false">R21+S21</f>
        <v>27767.21</v>
      </c>
      <c r="R21" s="149" t="n">
        <v>21911.73</v>
      </c>
      <c r="S21" s="198" t="n">
        <v>5855.48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2</v>
      </c>
      <c r="P22" s="155" t="n">
        <v>1233.4</v>
      </c>
      <c r="Q22" s="155" t="n">
        <v>704.8</v>
      </c>
      <c r="R22" s="155" t="n">
        <v>704.8</v>
      </c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15</v>
      </c>
      <c r="I23" s="148" t="n">
        <v>13</v>
      </c>
      <c r="J23" s="148" t="n">
        <v>13</v>
      </c>
      <c r="K23" s="148" t="n">
        <v>4140.7</v>
      </c>
      <c r="L23" s="149" t="n">
        <f aca="false">M23+N23</f>
        <v>4140.7</v>
      </c>
      <c r="M23" s="149" t="n">
        <v>2378.7</v>
      </c>
      <c r="N23" s="190" t="n">
        <v>1762</v>
      </c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 t="n">
        <v>4</v>
      </c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22</v>
      </c>
      <c r="I25" s="160" t="n">
        <v>21</v>
      </c>
      <c r="J25" s="160" t="n">
        <v>29</v>
      </c>
      <c r="K25" s="161" t="n">
        <v>42136.5</v>
      </c>
      <c r="L25" s="161" t="n">
        <f aca="false">M25+N25</f>
        <v>33328.26</v>
      </c>
      <c r="M25" s="161" t="n">
        <v>21522.43</v>
      </c>
      <c r="N25" s="190" t="n">
        <v>11805.83</v>
      </c>
      <c r="O25" s="151" t="n">
        <v>8</v>
      </c>
      <c r="P25" s="149" t="n">
        <v>21503.23</v>
      </c>
      <c r="Q25" s="149" t="n">
        <f aca="false">R25+S25</f>
        <v>10769.07</v>
      </c>
      <c r="R25" s="149" t="n">
        <v>10769.07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4</v>
      </c>
      <c r="I26" s="165" t="n">
        <v>2</v>
      </c>
      <c r="J26" s="165" t="n">
        <v>2</v>
      </c>
      <c r="K26" s="166" t="n">
        <v>1409.6</v>
      </c>
      <c r="L26" s="166" t="n">
        <f aca="false">M26+N26</f>
        <v>1409.6</v>
      </c>
      <c r="M26" s="166"/>
      <c r="N26" s="156" t="n">
        <v>1409.6</v>
      </c>
      <c r="O26" s="157" t="n">
        <v>9</v>
      </c>
      <c r="P26" s="155" t="n">
        <v>19558.2</v>
      </c>
      <c r="Q26" s="155" t="n">
        <f aca="false">R26+S26</f>
        <v>17267.6</v>
      </c>
      <c r="R26" s="155" t="n">
        <f aca="false">2995.4+14272.2</f>
        <v>17267.6</v>
      </c>
      <c r="S26" s="156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 t="n">
        <f aca="false">4052.6</f>
        <v>4052.6</v>
      </c>
      <c r="N28" s="167"/>
      <c r="O28" s="168" t="n">
        <v>6</v>
      </c>
      <c r="P28" s="166" t="n">
        <v>19381.4</v>
      </c>
      <c r="Q28" s="166" t="n">
        <f aca="false">R28+S28</f>
        <v>17267.7</v>
      </c>
      <c r="R28" s="166" t="n">
        <f aca="false">5286+2290.6-23.95+9715.05</f>
        <v>17267.7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291</v>
      </c>
      <c r="C29" s="19"/>
      <c r="D29" s="19"/>
      <c r="E29" s="19"/>
      <c r="F29" s="20"/>
      <c r="G29" s="146" t="s">
        <v>22</v>
      </c>
      <c r="H29" s="147"/>
      <c r="I29" s="148"/>
      <c r="J29" s="148"/>
      <c r="K29" s="149"/>
      <c r="L29" s="149" t="n">
        <f aca="false">M29+N29</f>
        <v>0</v>
      </c>
      <c r="M29" s="149"/>
      <c r="N29" s="150"/>
      <c r="O29" s="206" t="n">
        <v>1</v>
      </c>
      <c r="P29" s="149" t="n">
        <v>36290.52</v>
      </c>
      <c r="Q29" s="149" t="n">
        <v>36290.52</v>
      </c>
      <c r="R29" s="149"/>
      <c r="S29" s="150" t="n">
        <v>36290.52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57"/>
      <c r="G30" s="152" t="s">
        <v>26</v>
      </c>
      <c r="H30" s="176"/>
      <c r="I30" s="154"/>
      <c r="J30" s="154"/>
      <c r="K30" s="155"/>
      <c r="L30" s="155" t="n">
        <f aca="false">M30+N30</f>
        <v>0</v>
      </c>
      <c r="M30" s="155"/>
      <c r="N30" s="156"/>
      <c r="O30" s="209"/>
      <c r="P30" s="155"/>
      <c r="Q30" s="155" t="n">
        <v>0</v>
      </c>
      <c r="R30" s="155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54"/>
      <c r="B31" s="55" t="s">
        <v>153</v>
      </c>
      <c r="C31" s="56" t="s">
        <v>20</v>
      </c>
      <c r="D31" s="56"/>
      <c r="E31" s="56" t="s">
        <v>278</v>
      </c>
      <c r="F31" s="36"/>
      <c r="G31" s="158" t="s">
        <v>22</v>
      </c>
      <c r="H31" s="169" t="n">
        <v>7</v>
      </c>
      <c r="I31" s="160" t="n">
        <v>1</v>
      </c>
      <c r="J31" s="160" t="n">
        <v>1</v>
      </c>
      <c r="K31" s="161" t="n">
        <v>1691.52</v>
      </c>
      <c r="L31" s="161" t="n">
        <f aca="false">M31+N31</f>
        <v>0</v>
      </c>
      <c r="M31" s="161"/>
      <c r="N31" s="190"/>
      <c r="O31" s="163"/>
      <c r="P31" s="161"/>
      <c r="Q31" s="161" t="n">
        <f aca="false">R31+S31</f>
        <v>0</v>
      </c>
      <c r="R31" s="161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54"/>
      <c r="B32" s="55"/>
      <c r="C32" s="55"/>
      <c r="D32" s="55"/>
      <c r="E32" s="55"/>
      <c r="F32" s="42" t="s">
        <v>231</v>
      </c>
      <c r="G32" s="164" t="s">
        <v>23</v>
      </c>
      <c r="H32" s="178" t="n">
        <v>11</v>
      </c>
      <c r="I32" s="165" t="n">
        <v>1</v>
      </c>
      <c r="J32" s="165" t="n">
        <v>1</v>
      </c>
      <c r="K32" s="166" t="n">
        <v>2114.4</v>
      </c>
      <c r="L32" s="166" t="n">
        <f aca="false">M32+N32</f>
        <v>0</v>
      </c>
      <c r="M32" s="166"/>
      <c r="N32" s="167"/>
      <c r="O32" s="168"/>
      <c r="P32" s="166"/>
      <c r="Q32" s="166" t="n">
        <f aca="false">R32+S32</f>
        <v>0</v>
      </c>
      <c r="R32" s="166"/>
      <c r="S32" s="167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17"/>
      <c r="B33" s="55" t="s">
        <v>292</v>
      </c>
      <c r="C33" s="19"/>
      <c r="D33" s="19"/>
      <c r="E33" s="19"/>
      <c r="F33" s="20"/>
      <c r="G33" s="146" t="s">
        <v>22</v>
      </c>
      <c r="H33" s="147" t="n">
        <v>1</v>
      </c>
      <c r="I33" s="148"/>
      <c r="J33" s="148"/>
      <c r="K33" s="149"/>
      <c r="L33" s="149" t="n">
        <f aca="false">M33+N33</f>
        <v>0</v>
      </c>
      <c r="M33" s="149"/>
      <c r="N33" s="150"/>
      <c r="O33" s="206"/>
      <c r="P33" s="149"/>
      <c r="Q33" s="149" t="n">
        <v>0</v>
      </c>
      <c r="R33" s="149"/>
      <c r="S33" s="15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17"/>
      <c r="B34" s="55"/>
      <c r="C34" s="55"/>
      <c r="D34" s="55"/>
      <c r="E34" s="55"/>
      <c r="F34" s="57"/>
      <c r="G34" s="152" t="s">
        <v>26</v>
      </c>
      <c r="H34" s="176"/>
      <c r="I34" s="154"/>
      <c r="J34" s="154"/>
      <c r="K34" s="155"/>
      <c r="L34" s="155" t="n">
        <f aca="false">M34+N34</f>
        <v>0</v>
      </c>
      <c r="M34" s="155"/>
      <c r="N34" s="156"/>
      <c r="O34" s="209"/>
      <c r="P34" s="155"/>
      <c r="Q34" s="155" t="n"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54"/>
      <c r="B35" s="55" t="s">
        <v>232</v>
      </c>
      <c r="C35" s="56"/>
      <c r="D35" s="56"/>
      <c r="E35" s="56"/>
      <c r="F35" s="36"/>
      <c r="G35" s="158" t="s">
        <v>22</v>
      </c>
      <c r="H35" s="169" t="n">
        <v>11</v>
      </c>
      <c r="I35" s="160" t="n">
        <v>4</v>
      </c>
      <c r="J35" s="160" t="n">
        <v>5</v>
      </c>
      <c r="K35" s="161" t="n">
        <v>7496.43</v>
      </c>
      <c r="L35" s="161" t="n">
        <f aca="false">M35+N35</f>
        <v>881</v>
      </c>
      <c r="M35" s="161"/>
      <c r="N35" s="190" t="n">
        <v>881</v>
      </c>
      <c r="O35" s="228"/>
      <c r="P35" s="161"/>
      <c r="Q35" s="161" t="n">
        <f aca="false">R35+S35</f>
        <v>0</v>
      </c>
      <c r="R35" s="161"/>
      <c r="S35" s="19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54"/>
      <c r="B36" s="55"/>
      <c r="C36" s="55"/>
      <c r="D36" s="55"/>
      <c r="E36" s="55"/>
      <c r="F36" s="26" t="s">
        <v>265</v>
      </c>
      <c r="G36" s="152" t="s">
        <v>26</v>
      </c>
      <c r="H36" s="176" t="n">
        <v>6</v>
      </c>
      <c r="I36" s="154" t="n">
        <v>1</v>
      </c>
      <c r="J36" s="154" t="n">
        <v>1</v>
      </c>
      <c r="K36" s="155" t="n">
        <v>704.8</v>
      </c>
      <c r="L36" s="155" t="n">
        <f aca="false">M36+N36</f>
        <v>704.8</v>
      </c>
      <c r="M36" s="155" t="n">
        <f aca="false">704.8</f>
        <v>704.8</v>
      </c>
      <c r="N36" s="156"/>
      <c r="O36" s="209"/>
      <c r="P36" s="155"/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40</v>
      </c>
      <c r="C37" s="56" t="s">
        <v>38</v>
      </c>
      <c r="D37" s="56" t="s">
        <v>41</v>
      </c>
      <c r="E37" s="56" t="s">
        <v>42</v>
      </c>
      <c r="F37" s="36"/>
      <c r="G37" s="158" t="s">
        <v>22</v>
      </c>
      <c r="H37" s="169"/>
      <c r="I37" s="160"/>
      <c r="J37" s="160"/>
      <c r="K37" s="161"/>
      <c r="L37" s="161" t="n">
        <f aca="false">M37+N37</f>
        <v>0</v>
      </c>
      <c r="M37" s="161"/>
      <c r="N37" s="190"/>
      <c r="O37" s="163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57"/>
      <c r="G38" s="152" t="s">
        <v>23</v>
      </c>
      <c r="H38" s="153"/>
      <c r="I38" s="154"/>
      <c r="J38" s="154"/>
      <c r="K38" s="155"/>
      <c r="L38" s="155" t="n">
        <f aca="false">M38+N38</f>
        <v>0</v>
      </c>
      <c r="M38" s="155"/>
      <c r="N38" s="156"/>
      <c r="O38" s="157"/>
      <c r="P38" s="155"/>
      <c r="Q38" s="155" t="n">
        <f aca="false">R38+S38</f>
        <v>0</v>
      </c>
      <c r="R38" s="155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54"/>
      <c r="B39" s="55" t="s">
        <v>43</v>
      </c>
      <c r="C39" s="56" t="s">
        <v>33</v>
      </c>
      <c r="D39" s="56" t="s">
        <v>44</v>
      </c>
      <c r="E39" s="56" t="s">
        <v>45</v>
      </c>
      <c r="F39" s="36"/>
      <c r="G39" s="146" t="s">
        <v>22</v>
      </c>
      <c r="H39" s="159" t="n">
        <v>12</v>
      </c>
      <c r="I39" s="160" t="n">
        <v>10</v>
      </c>
      <c r="J39" s="160" t="n">
        <v>10</v>
      </c>
      <c r="K39" s="161" t="n">
        <v>16289.61</v>
      </c>
      <c r="L39" s="161" t="n">
        <f aca="false">M39+N39</f>
        <v>9138.09</v>
      </c>
      <c r="M39" s="161" t="n">
        <v>9138.09</v>
      </c>
      <c r="N39" s="190"/>
      <c r="O39" s="151" t="n">
        <v>10</v>
      </c>
      <c r="P39" s="149" t="n">
        <v>39637.95</v>
      </c>
      <c r="Q39" s="149" t="n">
        <f aca="false">R39+S39</f>
        <v>39637.95</v>
      </c>
      <c r="R39" s="149" t="n">
        <v>39637.95</v>
      </c>
      <c r="S39" s="198"/>
      <c r="T39" s="2"/>
      <c r="U39" s="70"/>
      <c r="V39" s="70"/>
      <c r="W39" s="70"/>
      <c r="X39" s="70"/>
      <c r="Y39" s="70"/>
      <c r="Z39" s="70"/>
      <c r="AA39" s="70"/>
      <c r="AB39" s="70"/>
      <c r="AC39" s="70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26" t="s">
        <v>165</v>
      </c>
      <c r="G40" s="152" t="s">
        <v>26</v>
      </c>
      <c r="H40" s="153" t="n">
        <v>3</v>
      </c>
      <c r="I40" s="154" t="n">
        <v>2</v>
      </c>
      <c r="J40" s="154" t="n">
        <v>2</v>
      </c>
      <c r="K40" s="155" t="n">
        <v>4933.6</v>
      </c>
      <c r="L40" s="155" t="n">
        <f aca="false">M40+N40</f>
        <v>3700.2</v>
      </c>
      <c r="M40" s="155"/>
      <c r="N40" s="156" t="n">
        <f aca="false">3700.2</f>
        <v>3700.2</v>
      </c>
      <c r="O40" s="157" t="n">
        <v>5</v>
      </c>
      <c r="P40" s="155" t="n">
        <v>13567.4</v>
      </c>
      <c r="Q40" s="155" t="n">
        <f aca="false">R40+S40</f>
        <v>11453</v>
      </c>
      <c r="R40" s="155" t="n">
        <f aca="false">53.85+11399.15</f>
        <v>11453</v>
      </c>
      <c r="S40" s="156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" hidden="false" customHeight="true" outlineLevel="0" collapsed="false">
      <c r="A41" s="33"/>
      <c r="B41" s="34" t="s">
        <v>46</v>
      </c>
      <c r="C41" s="35" t="s">
        <v>20</v>
      </c>
      <c r="D41" s="35"/>
      <c r="E41" s="35" t="s">
        <v>25</v>
      </c>
      <c r="F41" s="36"/>
      <c r="G41" s="146" t="s">
        <v>22</v>
      </c>
      <c r="H41" s="159" t="n">
        <v>11</v>
      </c>
      <c r="I41" s="160" t="n">
        <v>10</v>
      </c>
      <c r="J41" s="160" t="n">
        <v>12</v>
      </c>
      <c r="K41" s="161" t="n">
        <v>27872.38</v>
      </c>
      <c r="L41" s="161" t="n">
        <f aca="false">M41+N41</f>
        <v>19151.8</v>
      </c>
      <c r="M41" s="161" t="n">
        <v>17227.7</v>
      </c>
      <c r="N41" s="190" t="n">
        <v>1924.1</v>
      </c>
      <c r="O41" s="151" t="n">
        <v>15</v>
      </c>
      <c r="P41" s="149" t="n">
        <v>55419.47</v>
      </c>
      <c r="Q41" s="149" t="n">
        <f aca="false">R41+S41</f>
        <v>54101.49</v>
      </c>
      <c r="R41" s="149" t="n">
        <v>52304.25</v>
      </c>
      <c r="S41" s="198" t="n">
        <v>1797.24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164" t="s">
        <v>26</v>
      </c>
      <c r="H42" s="153"/>
      <c r="I42" s="165"/>
      <c r="J42" s="165"/>
      <c r="K42" s="166"/>
      <c r="L42" s="166" t="n">
        <f aca="false">M42+N42</f>
        <v>0</v>
      </c>
      <c r="M42" s="166"/>
      <c r="N42" s="156"/>
      <c r="O42" s="157"/>
      <c r="P42" s="155"/>
      <c r="Q42" s="155" t="n">
        <f aca="false">R42+S42</f>
        <v>0</v>
      </c>
      <c r="R42" s="155"/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.75" hidden="false" customHeight="true" outlineLevel="0" collapsed="false">
      <c r="A43" s="72"/>
      <c r="B43" s="73" t="s">
        <v>47</v>
      </c>
      <c r="C43" s="74" t="s">
        <v>20</v>
      </c>
      <c r="D43" s="74" t="s">
        <v>166</v>
      </c>
      <c r="E43" s="75" t="s">
        <v>25</v>
      </c>
      <c r="F43" s="22"/>
      <c r="G43" s="146" t="s">
        <v>22</v>
      </c>
      <c r="H43" s="159" t="n">
        <v>7</v>
      </c>
      <c r="I43" s="148" t="n">
        <v>5</v>
      </c>
      <c r="J43" s="148" t="n">
        <v>5</v>
      </c>
      <c r="K43" s="149" t="n">
        <v>2119.69</v>
      </c>
      <c r="L43" s="149" t="n">
        <f aca="false">M43+N43</f>
        <v>2119.69</v>
      </c>
      <c r="M43" s="149" t="n">
        <v>621.99</v>
      </c>
      <c r="N43" s="190" t="n">
        <v>1497.7</v>
      </c>
      <c r="O43" s="151"/>
      <c r="P43" s="149"/>
      <c r="Q43" s="149" t="n">
        <f aca="false">R43+S43</f>
        <v>0</v>
      </c>
      <c r="R43" s="149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72"/>
      <c r="B44" s="73"/>
      <c r="C44" s="73"/>
      <c r="D44" s="73"/>
      <c r="E44" s="75"/>
      <c r="F44" s="42" t="s">
        <v>167</v>
      </c>
      <c r="G44" s="164" t="s">
        <v>26</v>
      </c>
      <c r="H44" s="172" t="n">
        <v>5</v>
      </c>
      <c r="I44" s="165"/>
      <c r="J44" s="165"/>
      <c r="K44" s="166"/>
      <c r="L44" s="166" t="n">
        <f aca="false">M44+N44</f>
        <v>0</v>
      </c>
      <c r="M44" s="166"/>
      <c r="N44" s="156"/>
      <c r="O44" s="168" t="n">
        <v>3</v>
      </c>
      <c r="P44" s="166" t="n">
        <v>13945.3</v>
      </c>
      <c r="Q44" s="166" t="n">
        <f aca="false">R44+S44</f>
        <v>10849.9</v>
      </c>
      <c r="R44" s="166" t="n">
        <f aca="false">10849.9</f>
        <v>10849.9</v>
      </c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17"/>
      <c r="B45" s="18" t="s">
        <v>48</v>
      </c>
      <c r="C45" s="19" t="s">
        <v>20</v>
      </c>
      <c r="D45" s="19" t="s">
        <v>168</v>
      </c>
      <c r="E45" s="19" t="s">
        <v>25</v>
      </c>
      <c r="F45" s="20"/>
      <c r="G45" s="146" t="s">
        <v>22</v>
      </c>
      <c r="H45" s="147" t="n">
        <v>2</v>
      </c>
      <c r="I45" s="148" t="n">
        <v>1</v>
      </c>
      <c r="J45" s="148" t="n">
        <v>1</v>
      </c>
      <c r="K45" s="149" t="n">
        <v>352.4</v>
      </c>
      <c r="L45" s="149" t="n">
        <f aca="false">M45+N45</f>
        <v>0</v>
      </c>
      <c r="M45" s="149"/>
      <c r="N45" s="190"/>
      <c r="O45" s="151" t="n">
        <v>4</v>
      </c>
      <c r="P45" s="149" t="n">
        <v>12699.01</v>
      </c>
      <c r="Q45" s="149" t="n">
        <f aca="false">R45+S45</f>
        <v>12699.01</v>
      </c>
      <c r="R45" s="149" t="n">
        <v>12699.01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17"/>
      <c r="B46" s="18"/>
      <c r="C46" s="18"/>
      <c r="D46" s="18"/>
      <c r="E46" s="18"/>
      <c r="F46" s="26" t="s">
        <v>169</v>
      </c>
      <c r="G46" s="152" t="s">
        <v>26</v>
      </c>
      <c r="H46" s="176" t="n">
        <v>4</v>
      </c>
      <c r="I46" s="154" t="n">
        <v>1</v>
      </c>
      <c r="J46" s="154" t="n">
        <v>1</v>
      </c>
      <c r="K46" s="155" t="n">
        <v>1233.4</v>
      </c>
      <c r="L46" s="155" t="n">
        <f aca="false">M46+N46</f>
        <v>0</v>
      </c>
      <c r="M46" s="155" t="n">
        <v>0</v>
      </c>
      <c r="N46" s="156"/>
      <c r="O46" s="157" t="n">
        <v>4</v>
      </c>
      <c r="P46" s="155" t="n">
        <v>11981.6</v>
      </c>
      <c r="Q46" s="155" t="n">
        <f aca="false">R46+S46</f>
        <v>13567.4</v>
      </c>
      <c r="R46" s="155" t="n">
        <f aca="false">528.6+11453</f>
        <v>11981.6</v>
      </c>
      <c r="S46" s="156" t="n">
        <v>1585.8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54"/>
      <c r="B47" s="55" t="s">
        <v>49</v>
      </c>
      <c r="C47" s="56" t="s">
        <v>20</v>
      </c>
      <c r="D47" s="78"/>
      <c r="E47" s="56" t="s">
        <v>50</v>
      </c>
      <c r="F47" s="36"/>
      <c r="G47" s="146" t="s">
        <v>22</v>
      </c>
      <c r="H47" s="169"/>
      <c r="I47" s="160"/>
      <c r="J47" s="160"/>
      <c r="K47" s="161"/>
      <c r="L47" s="161" t="n">
        <f aca="false">M47+N47</f>
        <v>0</v>
      </c>
      <c r="M47" s="161"/>
      <c r="N47" s="190"/>
      <c r="O47" s="163"/>
      <c r="P47" s="161"/>
      <c r="Q47" s="161" t="n">
        <f aca="false">R47+S47</f>
        <v>0</v>
      </c>
      <c r="R47" s="161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54"/>
      <c r="B48" s="55"/>
      <c r="C48" s="55"/>
      <c r="D48" s="55"/>
      <c r="E48" s="55"/>
      <c r="F48" s="57"/>
      <c r="G48" s="152" t="s">
        <v>26</v>
      </c>
      <c r="H48" s="153"/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33"/>
      <c r="B49" s="34" t="s">
        <v>51</v>
      </c>
      <c r="C49" s="35" t="s">
        <v>20</v>
      </c>
      <c r="D49" s="35"/>
      <c r="E49" s="35" t="s">
        <v>52</v>
      </c>
      <c r="F49" s="36"/>
      <c r="G49" s="146" t="s">
        <v>22</v>
      </c>
      <c r="H49" s="169" t="n">
        <v>6</v>
      </c>
      <c r="I49" s="160" t="n">
        <v>3</v>
      </c>
      <c r="J49" s="160" t="n">
        <v>4</v>
      </c>
      <c r="K49" s="161" t="n">
        <v>5976.7</v>
      </c>
      <c r="L49" s="161" t="n">
        <f aca="false">M49+N49</f>
        <v>5976.7</v>
      </c>
      <c r="M49" s="161"/>
      <c r="N49" s="190" t="n">
        <v>5976.7</v>
      </c>
      <c r="O49" s="151" t="n">
        <v>3</v>
      </c>
      <c r="P49" s="149" t="n">
        <v>9820.51</v>
      </c>
      <c r="Q49" s="149" t="n">
        <f aca="false">R49+S49</f>
        <v>9820.51</v>
      </c>
      <c r="R49" s="149" t="n">
        <v>5039.32</v>
      </c>
      <c r="S49" s="198" t="n">
        <v>4781.19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33"/>
      <c r="B50" s="34"/>
      <c r="C50" s="34"/>
      <c r="D50" s="34"/>
      <c r="E50" s="34"/>
      <c r="F50" s="71"/>
      <c r="G50" s="164" t="s">
        <v>26</v>
      </c>
      <c r="H50" s="175"/>
      <c r="I50" s="165"/>
      <c r="J50" s="165"/>
      <c r="K50" s="166"/>
      <c r="L50" s="166" t="n">
        <f aca="false">M50+N50</f>
        <v>0</v>
      </c>
      <c r="M50" s="166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17"/>
      <c r="B51" s="18" t="s">
        <v>154</v>
      </c>
      <c r="C51" s="19"/>
      <c r="D51" s="19" t="s">
        <v>170</v>
      </c>
      <c r="E51" s="19"/>
      <c r="F51" s="20"/>
      <c r="G51" s="146" t="s">
        <v>22</v>
      </c>
      <c r="H51" s="173" t="n">
        <v>45</v>
      </c>
      <c r="I51" s="148" t="n">
        <v>42</v>
      </c>
      <c r="J51" s="148" t="n">
        <v>42</v>
      </c>
      <c r="K51" s="149" t="n">
        <v>40092.46</v>
      </c>
      <c r="L51" s="149" t="n">
        <f aca="false">M51+N51</f>
        <v>34720.47</v>
      </c>
      <c r="M51" s="149" t="n">
        <v>34720.47</v>
      </c>
      <c r="N51" s="190"/>
      <c r="O51" s="151"/>
      <c r="P51" s="149"/>
      <c r="Q51" s="149" t="n">
        <f aca="false">R51+S51</f>
        <v>0</v>
      </c>
      <c r="R51" s="149"/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26" t="s">
        <v>171</v>
      </c>
      <c r="G52" s="152" t="s">
        <v>26</v>
      </c>
      <c r="H52" s="174" t="n">
        <v>4</v>
      </c>
      <c r="I52" s="154" t="n">
        <v>1</v>
      </c>
      <c r="J52" s="154" t="n">
        <v>1</v>
      </c>
      <c r="K52" s="155" t="n">
        <v>1409.6</v>
      </c>
      <c r="L52" s="155" t="n">
        <f aca="false">M52+N52</f>
        <v>1409.6</v>
      </c>
      <c r="M52" s="155" t="n">
        <f aca="false">1409.6</f>
        <v>1409.6</v>
      </c>
      <c r="N52" s="156"/>
      <c r="O52" s="157"/>
      <c r="P52" s="155"/>
      <c r="Q52" s="155" t="n">
        <f aca="false">R52+S52</f>
        <v>0</v>
      </c>
      <c r="R52" s="155"/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54"/>
      <c r="B53" s="55" t="s">
        <v>53</v>
      </c>
      <c r="C53" s="56" t="s">
        <v>33</v>
      </c>
      <c r="D53" s="56" t="s">
        <v>54</v>
      </c>
      <c r="E53" s="56" t="s">
        <v>42</v>
      </c>
      <c r="F53" s="36"/>
      <c r="G53" s="158" t="s">
        <v>22</v>
      </c>
      <c r="H53" s="159" t="n">
        <v>14</v>
      </c>
      <c r="I53" s="160" t="n">
        <v>13</v>
      </c>
      <c r="J53" s="160" t="n">
        <v>17</v>
      </c>
      <c r="K53" s="161" t="n">
        <v>30660.61</v>
      </c>
      <c r="L53" s="161" t="n">
        <f aca="false">M53+N53</f>
        <v>11601.93</v>
      </c>
      <c r="M53" s="161" t="n">
        <v>11601.93</v>
      </c>
      <c r="N53" s="190"/>
      <c r="O53" s="151" t="n">
        <v>19</v>
      </c>
      <c r="P53" s="149" t="n">
        <v>55490.33</v>
      </c>
      <c r="Q53" s="149" t="n">
        <f aca="false">R53+S53</f>
        <v>47845.54</v>
      </c>
      <c r="R53" s="149" t="n">
        <v>47845.54</v>
      </c>
      <c r="S53" s="198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54"/>
      <c r="B54" s="55"/>
      <c r="C54" s="55"/>
      <c r="D54" s="55"/>
      <c r="E54" s="55"/>
      <c r="F54" s="57"/>
      <c r="G54" s="152" t="s">
        <v>23</v>
      </c>
      <c r="H54" s="153"/>
      <c r="I54" s="154"/>
      <c r="J54" s="154"/>
      <c r="K54" s="155"/>
      <c r="L54" s="155" t="n">
        <f aca="false">M54+N54</f>
        <v>0</v>
      </c>
      <c r="M54" s="155"/>
      <c r="N54" s="156"/>
      <c r="O54" s="157"/>
      <c r="P54" s="155"/>
      <c r="Q54" s="155" t="n">
        <f aca="false">R54+S54</f>
        <v>0</v>
      </c>
      <c r="R54" s="155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33"/>
      <c r="B55" s="34" t="s">
        <v>55</v>
      </c>
      <c r="C55" s="35" t="s">
        <v>20</v>
      </c>
      <c r="D55" s="35"/>
      <c r="E55" s="35" t="s">
        <v>25</v>
      </c>
      <c r="F55" s="38"/>
      <c r="G55" s="146" t="s">
        <v>22</v>
      </c>
      <c r="H55" s="169" t="n">
        <v>2</v>
      </c>
      <c r="I55" s="160" t="n">
        <v>1</v>
      </c>
      <c r="J55" s="160" t="n">
        <v>1</v>
      </c>
      <c r="K55" s="161" t="n">
        <v>1691.52</v>
      </c>
      <c r="L55" s="161" t="n">
        <f aca="false">M55+N55</f>
        <v>0</v>
      </c>
      <c r="M55" s="161"/>
      <c r="N55" s="190"/>
      <c r="O55" s="163" t="n">
        <v>3</v>
      </c>
      <c r="P55" s="161" t="n">
        <v>18745.92</v>
      </c>
      <c r="Q55" s="161" t="n">
        <f aca="false">R55+S55</f>
        <v>18745.92</v>
      </c>
      <c r="R55" s="161" t="n">
        <v>18745.92</v>
      </c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33"/>
      <c r="B56" s="34"/>
      <c r="C56" s="34"/>
      <c r="D56" s="34"/>
      <c r="E56" s="34"/>
      <c r="F56" s="42" t="s">
        <v>172</v>
      </c>
      <c r="G56" s="164" t="s">
        <v>26</v>
      </c>
      <c r="H56" s="171" t="n">
        <v>3</v>
      </c>
      <c r="I56" s="165" t="n">
        <v>1</v>
      </c>
      <c r="J56" s="165" t="n">
        <v>1</v>
      </c>
      <c r="K56" s="166" t="n">
        <v>1057.2</v>
      </c>
      <c r="L56" s="161" t="n">
        <f aca="false">M56+N56</f>
        <v>0</v>
      </c>
      <c r="M56" s="166" t="n">
        <v>0</v>
      </c>
      <c r="N56" s="156"/>
      <c r="O56" s="168" t="n">
        <v>8</v>
      </c>
      <c r="P56" s="166" t="n">
        <v>14217.29</v>
      </c>
      <c r="Q56" s="161" t="n">
        <f aca="false">R56+S56</f>
        <v>18120.69</v>
      </c>
      <c r="R56" s="166" t="n">
        <f aca="false">1409.6+3672.29+13038.8</f>
        <v>18120.69</v>
      </c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.75" hidden="false" customHeight="true" outlineLevel="0" collapsed="false">
      <c r="A57" s="17"/>
      <c r="B57" s="18" t="s">
        <v>56</v>
      </c>
      <c r="C57" s="19" t="s">
        <v>33</v>
      </c>
      <c r="D57" s="19" t="s">
        <v>57</v>
      </c>
      <c r="E57" s="19" t="s">
        <v>25</v>
      </c>
      <c r="F57" s="20"/>
      <c r="G57" s="146" t="s">
        <v>22</v>
      </c>
      <c r="H57" s="159" t="n">
        <v>6</v>
      </c>
      <c r="I57" s="148"/>
      <c r="J57" s="148"/>
      <c r="K57" s="149"/>
      <c r="L57" s="149" t="n">
        <f aca="false">M57+N57</f>
        <v>0</v>
      </c>
      <c r="M57" s="149"/>
      <c r="N57" s="190"/>
      <c r="O57" s="151" t="n">
        <v>11</v>
      </c>
      <c r="P57" s="149" t="n">
        <v>43131.21</v>
      </c>
      <c r="Q57" s="149" t="n">
        <f aca="false">R57+S57</f>
        <v>43131.21</v>
      </c>
      <c r="R57" s="149" t="n">
        <v>43131.21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42"/>
      <c r="G58" s="164" t="s">
        <v>26</v>
      </c>
      <c r="H58" s="175" t="n">
        <v>3</v>
      </c>
      <c r="I58" s="165"/>
      <c r="J58" s="165"/>
      <c r="K58" s="166"/>
      <c r="L58" s="166" t="n">
        <f aca="false">M58+N58</f>
        <v>0</v>
      </c>
      <c r="M58" s="166"/>
      <c r="N58" s="156"/>
      <c r="O58" s="168" t="n">
        <v>5</v>
      </c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266</v>
      </c>
      <c r="C59" s="19" t="s">
        <v>20</v>
      </c>
      <c r="D59" s="19"/>
      <c r="E59" s="19" t="s">
        <v>267</v>
      </c>
      <c r="F59" s="20"/>
      <c r="G59" s="146" t="s">
        <v>22</v>
      </c>
      <c r="H59" s="173" t="n">
        <v>2</v>
      </c>
      <c r="I59" s="148" t="n">
        <v>1</v>
      </c>
      <c r="J59" s="148" t="n">
        <v>1</v>
      </c>
      <c r="K59" s="149" t="n">
        <v>528.6</v>
      </c>
      <c r="L59" s="149" t="n">
        <f aca="false">M59+N59</f>
        <v>0</v>
      </c>
      <c r="M59" s="149"/>
      <c r="N59" s="190"/>
      <c r="O59" s="206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268</v>
      </c>
      <c r="G60" s="152" t="s">
        <v>26</v>
      </c>
      <c r="H60" s="174" t="n">
        <v>5</v>
      </c>
      <c r="I60" s="154" t="n">
        <v>3</v>
      </c>
      <c r="J60" s="154" t="n">
        <v>3</v>
      </c>
      <c r="K60" s="155" t="n">
        <v>5286</v>
      </c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54"/>
      <c r="B61" s="55" t="s">
        <v>155</v>
      </c>
      <c r="C61" s="56"/>
      <c r="D61" s="56"/>
      <c r="E61" s="56"/>
      <c r="F61" s="36"/>
      <c r="G61" s="158" t="s">
        <v>22</v>
      </c>
      <c r="H61" s="159" t="n">
        <v>13</v>
      </c>
      <c r="I61" s="160" t="n">
        <v>11</v>
      </c>
      <c r="J61" s="160" t="n">
        <v>12</v>
      </c>
      <c r="K61" s="161" t="n">
        <v>17412.08</v>
      </c>
      <c r="L61" s="161" t="n">
        <f aca="false">M61+N61</f>
        <v>13482.82</v>
      </c>
      <c r="M61" s="161" t="n">
        <v>5893.89</v>
      </c>
      <c r="N61" s="190" t="n">
        <v>7588.93</v>
      </c>
      <c r="O61" s="163"/>
      <c r="P61" s="161"/>
      <c r="Q61" s="161" t="n">
        <f aca="false">R61+S61</f>
        <v>0</v>
      </c>
      <c r="R61" s="161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54"/>
      <c r="B62" s="55"/>
      <c r="C62" s="55"/>
      <c r="D62" s="55"/>
      <c r="E62" s="55"/>
      <c r="F62" s="71"/>
      <c r="G62" s="164" t="s">
        <v>26</v>
      </c>
      <c r="H62" s="177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221</v>
      </c>
      <c r="C63" s="19" t="s">
        <v>20</v>
      </c>
      <c r="D63" s="19"/>
      <c r="E63" s="19" t="s">
        <v>278</v>
      </c>
      <c r="F63" s="20"/>
      <c r="G63" s="146" t="s">
        <v>22</v>
      </c>
      <c r="H63" s="173" t="n">
        <v>8</v>
      </c>
      <c r="I63" s="148" t="n">
        <v>2</v>
      </c>
      <c r="J63" s="148" t="n">
        <v>2</v>
      </c>
      <c r="K63" s="149" t="n">
        <v>5127.42</v>
      </c>
      <c r="L63" s="149" t="n">
        <f aca="false">M63+N63</f>
        <v>3717.82</v>
      </c>
      <c r="M63" s="149" t="n">
        <v>3717.82</v>
      </c>
      <c r="N63" s="190"/>
      <c r="O63" s="151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233</v>
      </c>
      <c r="G64" s="152" t="s">
        <v>23</v>
      </c>
      <c r="H64" s="174" t="n">
        <v>5</v>
      </c>
      <c r="I64" s="154" t="n">
        <v>5</v>
      </c>
      <c r="J64" s="154" t="n">
        <v>5</v>
      </c>
      <c r="K64" s="155" t="n">
        <v>4052.6</v>
      </c>
      <c r="L64" s="155" t="n">
        <f aca="false">M64+N64</f>
        <v>704.8</v>
      </c>
      <c r="M64" s="155"/>
      <c r="N64" s="156" t="n">
        <v>704.8</v>
      </c>
      <c r="O64" s="157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33"/>
      <c r="B65" s="34" t="s">
        <v>58</v>
      </c>
      <c r="C65" s="35" t="s">
        <v>20</v>
      </c>
      <c r="D65" s="35"/>
      <c r="E65" s="35" t="s">
        <v>52</v>
      </c>
      <c r="F65" s="36"/>
      <c r="G65" s="158" t="s">
        <v>22</v>
      </c>
      <c r="H65" s="159" t="n">
        <v>10</v>
      </c>
      <c r="I65" s="160" t="n">
        <v>6</v>
      </c>
      <c r="J65" s="160" t="n">
        <v>10</v>
      </c>
      <c r="K65" s="161" t="n">
        <v>16500.69</v>
      </c>
      <c r="L65" s="161" t="n">
        <f aca="false">M65+N65</f>
        <v>16500.69</v>
      </c>
      <c r="M65" s="161" t="n">
        <v>7830.33</v>
      </c>
      <c r="N65" s="190" t="n">
        <v>8670.36</v>
      </c>
      <c r="O65" s="163" t="n">
        <v>10</v>
      </c>
      <c r="P65" s="161" t="n">
        <v>62059.28</v>
      </c>
      <c r="Q65" s="161" t="n">
        <f aca="false">R65+S65</f>
        <v>62059.28</v>
      </c>
      <c r="R65" s="161" t="n">
        <v>39387.3</v>
      </c>
      <c r="S65" s="190" t="n">
        <v>22671.98</v>
      </c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71"/>
      <c r="G66" s="164" t="s">
        <v>26</v>
      </c>
      <c r="H66" s="175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269</v>
      </c>
      <c r="C67" s="19"/>
      <c r="D67" s="49"/>
      <c r="E67" s="19"/>
      <c r="F67" s="22"/>
      <c r="G67" s="146" t="s">
        <v>22</v>
      </c>
      <c r="H67" s="147" t="n">
        <v>6</v>
      </c>
      <c r="I67" s="148" t="n">
        <v>5</v>
      </c>
      <c r="J67" s="148" t="n">
        <v>5</v>
      </c>
      <c r="K67" s="149" t="n">
        <v>14798.19</v>
      </c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/>
      <c r="G68" s="152" t="s">
        <v>26</v>
      </c>
      <c r="H68" s="176"/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54"/>
      <c r="B69" s="55" t="s">
        <v>222</v>
      </c>
      <c r="C69" s="56" t="s">
        <v>20</v>
      </c>
      <c r="D69" s="78"/>
      <c r="E69" s="56" t="s">
        <v>279</v>
      </c>
      <c r="F69" s="38"/>
      <c r="G69" s="158" t="s">
        <v>22</v>
      </c>
      <c r="H69" s="169" t="n">
        <v>19</v>
      </c>
      <c r="I69" s="160" t="n">
        <v>3</v>
      </c>
      <c r="J69" s="160" t="n">
        <v>3</v>
      </c>
      <c r="K69" s="161" t="n">
        <v>10353.95</v>
      </c>
      <c r="L69" s="161" t="n">
        <f aca="false">M69+N69</f>
        <v>3383.04</v>
      </c>
      <c r="M69" s="161" t="n">
        <v>3383.04</v>
      </c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54"/>
      <c r="B70" s="55"/>
      <c r="C70" s="55"/>
      <c r="D70" s="55"/>
      <c r="E70" s="55"/>
      <c r="F70" s="42" t="s">
        <v>234</v>
      </c>
      <c r="G70" s="164" t="s">
        <v>23</v>
      </c>
      <c r="H70" s="178" t="n">
        <v>3</v>
      </c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249</v>
      </c>
      <c r="C71" s="19"/>
      <c r="D71" s="49"/>
      <c r="E71" s="19"/>
      <c r="F71" s="22"/>
      <c r="G71" s="146" t="s">
        <v>22</v>
      </c>
      <c r="H71" s="147"/>
      <c r="I71" s="148"/>
      <c r="J71" s="148"/>
      <c r="K71" s="149"/>
      <c r="L71" s="149" t="n">
        <f aca="false">M71+N71</f>
        <v>0</v>
      </c>
      <c r="M71" s="149"/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23" t="s">
        <v>250</v>
      </c>
      <c r="G72" s="152" t="s">
        <v>26</v>
      </c>
      <c r="H72" s="176" t="n">
        <v>4</v>
      </c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33"/>
      <c r="B73" s="34" t="s">
        <v>59</v>
      </c>
      <c r="C73" s="35" t="s">
        <v>20</v>
      </c>
      <c r="D73" s="95"/>
      <c r="E73" s="35" t="s">
        <v>25</v>
      </c>
      <c r="F73" s="38"/>
      <c r="G73" s="158" t="s">
        <v>22</v>
      </c>
      <c r="H73" s="169"/>
      <c r="I73" s="160"/>
      <c r="J73" s="160"/>
      <c r="K73" s="161"/>
      <c r="L73" s="161" t="n">
        <f aca="false">M73+N73</f>
        <v>0</v>
      </c>
      <c r="M73" s="161"/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33"/>
      <c r="B74" s="34"/>
      <c r="C74" s="34"/>
      <c r="D74" s="34"/>
      <c r="E74" s="34"/>
      <c r="F74" s="71"/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60</v>
      </c>
      <c r="C75" s="19" t="s">
        <v>20</v>
      </c>
      <c r="D75" s="19"/>
      <c r="E75" s="19" t="s">
        <v>21</v>
      </c>
      <c r="F75" s="22"/>
      <c r="G75" s="146" t="s">
        <v>22</v>
      </c>
      <c r="H75" s="169" t="n">
        <v>3</v>
      </c>
      <c r="I75" s="148" t="n">
        <v>1</v>
      </c>
      <c r="J75" s="148" t="n">
        <v>1</v>
      </c>
      <c r="K75" s="149" t="n">
        <v>1046.63</v>
      </c>
      <c r="L75" s="149" t="n">
        <f aca="false">M75+N75</f>
        <v>0</v>
      </c>
      <c r="M75" s="149"/>
      <c r="N75" s="190"/>
      <c r="O75" s="151" t="n">
        <v>2</v>
      </c>
      <c r="P75" s="149" t="n">
        <v>3855.96</v>
      </c>
      <c r="Q75" s="149" t="n">
        <f aca="false">R75+S75</f>
        <v>881</v>
      </c>
      <c r="R75" s="149" t="n">
        <v>881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71"/>
      <c r="G76" s="164" t="s">
        <v>23</v>
      </c>
      <c r="H76" s="175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17"/>
      <c r="B77" s="18" t="s">
        <v>223</v>
      </c>
      <c r="C77" s="19" t="s">
        <v>33</v>
      </c>
      <c r="D77" s="19" t="s">
        <v>280</v>
      </c>
      <c r="E77" s="19" t="s">
        <v>259</v>
      </c>
      <c r="F77" s="20"/>
      <c r="G77" s="146" t="s">
        <v>22</v>
      </c>
      <c r="H77" s="173" t="n">
        <v>10</v>
      </c>
      <c r="I77" s="148" t="n">
        <v>4</v>
      </c>
      <c r="J77" s="148" t="n">
        <v>4</v>
      </c>
      <c r="K77" s="149" t="n">
        <v>24532.79</v>
      </c>
      <c r="L77" s="149" t="n">
        <f aca="false">M77+N77</f>
        <v>5039.32</v>
      </c>
      <c r="M77" s="149"/>
      <c r="N77" s="190" t="n">
        <v>5039.32</v>
      </c>
      <c r="O77" s="151"/>
      <c r="P77" s="149"/>
      <c r="Q77" s="149" t="n">
        <f aca="false">R77+S77</f>
        <v>0</v>
      </c>
      <c r="R77" s="149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26" t="s">
        <v>235</v>
      </c>
      <c r="G78" s="152" t="s">
        <v>23</v>
      </c>
      <c r="H78" s="174" t="n">
        <v>23</v>
      </c>
      <c r="I78" s="154" t="n">
        <v>11</v>
      </c>
      <c r="J78" s="154" t="n">
        <v>11</v>
      </c>
      <c r="K78" s="155" t="n">
        <v>14419.32</v>
      </c>
      <c r="L78" s="155" t="n">
        <v>7075.6</v>
      </c>
      <c r="M78" s="155" t="n">
        <v>7075.6</v>
      </c>
      <c r="N78" s="156"/>
      <c r="O78" s="157"/>
      <c r="P78" s="155"/>
      <c r="Q78" s="155" t="n">
        <f aca="false">R78+S78</f>
        <v>0</v>
      </c>
      <c r="R78" s="155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33"/>
      <c r="B79" s="34" t="s">
        <v>61</v>
      </c>
      <c r="C79" s="35" t="s">
        <v>33</v>
      </c>
      <c r="D79" s="56" t="s">
        <v>62</v>
      </c>
      <c r="E79" s="35" t="s">
        <v>25</v>
      </c>
      <c r="F79" s="36"/>
      <c r="G79" s="158" t="s">
        <v>22</v>
      </c>
      <c r="H79" s="159" t="n">
        <v>4</v>
      </c>
      <c r="I79" s="160" t="n">
        <v>3</v>
      </c>
      <c r="J79" s="160" t="n">
        <v>3</v>
      </c>
      <c r="K79" s="161" t="n">
        <v>4510.72</v>
      </c>
      <c r="L79" s="161" t="n">
        <f aca="false">M79+N79</f>
        <v>4510.72</v>
      </c>
      <c r="M79" s="161" t="n">
        <v>4510.72</v>
      </c>
      <c r="N79" s="190"/>
      <c r="O79" s="163" t="n">
        <v>1</v>
      </c>
      <c r="P79" s="161" t="n">
        <v>5123.54</v>
      </c>
      <c r="Q79" s="161" t="n">
        <f aca="false">R79+S79</f>
        <v>5123.54</v>
      </c>
      <c r="R79" s="161" t="n">
        <v>5123.54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33"/>
      <c r="B80" s="34"/>
      <c r="C80" s="34"/>
      <c r="D80" s="56"/>
      <c r="E80" s="35"/>
      <c r="F80" s="42" t="s">
        <v>173</v>
      </c>
      <c r="G80" s="164" t="s">
        <v>26</v>
      </c>
      <c r="H80" s="153" t="n">
        <v>2</v>
      </c>
      <c r="I80" s="165" t="n">
        <v>2</v>
      </c>
      <c r="J80" s="165" t="n">
        <v>2</v>
      </c>
      <c r="K80" s="166" t="n">
        <v>1409.6</v>
      </c>
      <c r="L80" s="166" t="n">
        <f aca="false">M80+N80</f>
        <v>704.8</v>
      </c>
      <c r="M80" s="166" t="n">
        <f aca="false">704.8</f>
        <v>704.8</v>
      </c>
      <c r="N80" s="156"/>
      <c r="O80" s="168" t="n">
        <v>2</v>
      </c>
      <c r="P80" s="166" t="n">
        <v>3171.6</v>
      </c>
      <c r="Q80" s="166" t="n">
        <f aca="false">R80+S80</f>
        <v>2907.3</v>
      </c>
      <c r="R80" s="166" t="n">
        <f aca="false">2907.3</f>
        <v>2907.3</v>
      </c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72"/>
      <c r="B81" s="73" t="s">
        <v>63</v>
      </c>
      <c r="C81" s="74" t="s">
        <v>20</v>
      </c>
      <c r="D81" s="74"/>
      <c r="E81" s="74" t="s">
        <v>25</v>
      </c>
      <c r="F81" s="20"/>
      <c r="G81" s="146" t="s">
        <v>22</v>
      </c>
      <c r="H81" s="169" t="n">
        <v>5</v>
      </c>
      <c r="I81" s="148" t="n">
        <v>3</v>
      </c>
      <c r="J81" s="148" t="n">
        <v>4</v>
      </c>
      <c r="K81" s="149" t="n">
        <v>5720.34</v>
      </c>
      <c r="L81" s="149" t="n">
        <f aca="false">M81+N81</f>
        <v>1162.92</v>
      </c>
      <c r="M81" s="149" t="n">
        <v>1162.92</v>
      </c>
      <c r="N81" s="190"/>
      <c r="O81" s="151" t="n">
        <v>9</v>
      </c>
      <c r="P81" s="149" t="n">
        <v>28668.15</v>
      </c>
      <c r="Q81" s="149" t="n">
        <f aca="false">R81+S81</f>
        <v>28069.07</v>
      </c>
      <c r="R81" s="149" t="n">
        <v>28069.07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72"/>
      <c r="B82" s="73"/>
      <c r="C82" s="73"/>
      <c r="D82" s="73"/>
      <c r="E82" s="73"/>
      <c r="F82" s="42" t="s">
        <v>174</v>
      </c>
      <c r="G82" s="164" t="s">
        <v>26</v>
      </c>
      <c r="H82" s="153" t="n">
        <v>3</v>
      </c>
      <c r="I82" s="165"/>
      <c r="J82" s="165"/>
      <c r="K82" s="166"/>
      <c r="L82" s="166" t="n">
        <f aca="false">M82+N82</f>
        <v>0</v>
      </c>
      <c r="M82" s="166"/>
      <c r="N82" s="156"/>
      <c r="O82" s="168"/>
      <c r="P82" s="166"/>
      <c r="Q82" s="166" t="n">
        <f aca="false">R82+S82</f>
        <v>0</v>
      </c>
      <c r="R82" s="166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72"/>
      <c r="B83" s="73" t="s">
        <v>64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1</v>
      </c>
      <c r="I83" s="148"/>
      <c r="J83" s="148"/>
      <c r="K83" s="149"/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71"/>
      <c r="G84" s="164" t="s">
        <v>26</v>
      </c>
      <c r="H84" s="153"/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17"/>
      <c r="B85" s="18" t="s">
        <v>65</v>
      </c>
      <c r="C85" s="19" t="s">
        <v>33</v>
      </c>
      <c r="D85" s="19" t="s">
        <v>66</v>
      </c>
      <c r="E85" s="19" t="s">
        <v>67</v>
      </c>
      <c r="F85" s="20"/>
      <c r="G85" s="146" t="s">
        <v>22</v>
      </c>
      <c r="H85" s="159" t="n">
        <v>8</v>
      </c>
      <c r="I85" s="148" t="n">
        <v>6</v>
      </c>
      <c r="J85" s="148" t="n">
        <v>7</v>
      </c>
      <c r="K85" s="149" t="n">
        <v>8722.99</v>
      </c>
      <c r="L85" s="149" t="n">
        <f aca="false">M85+N85</f>
        <v>3057.07</v>
      </c>
      <c r="M85" s="149" t="n">
        <v>3057.07</v>
      </c>
      <c r="N85" s="190"/>
      <c r="O85" s="151" t="n">
        <v>10</v>
      </c>
      <c r="P85" s="149" t="n">
        <v>43656.97</v>
      </c>
      <c r="Q85" s="149" t="n">
        <f aca="false">R85+S85</f>
        <v>14207.76</v>
      </c>
      <c r="R85" s="149" t="n">
        <v>14207.76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42" t="s">
        <v>236</v>
      </c>
      <c r="G86" s="164" t="s">
        <v>23</v>
      </c>
      <c r="H86" s="172" t="n">
        <v>33</v>
      </c>
      <c r="I86" s="165" t="n">
        <v>26</v>
      </c>
      <c r="J86" s="165" t="n">
        <v>26</v>
      </c>
      <c r="K86" s="166" t="n">
        <v>29277.8</v>
      </c>
      <c r="L86" s="166" t="n">
        <v>3524</v>
      </c>
      <c r="M86" s="166" t="n">
        <v>3524</v>
      </c>
      <c r="N86" s="156" t="n">
        <v>4052.6</v>
      </c>
      <c r="O86" s="168" t="n">
        <v>34</v>
      </c>
      <c r="P86" s="166" t="n">
        <v>70390.42</v>
      </c>
      <c r="Q86" s="166" t="n">
        <v>30232.1</v>
      </c>
      <c r="R86" s="166" t="n">
        <v>30232.1</v>
      </c>
      <c r="S86" s="156" t="n">
        <v>9162.4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175</v>
      </c>
      <c r="C87" s="19"/>
      <c r="D87" s="19"/>
      <c r="E87" s="19"/>
      <c r="F87" s="137"/>
      <c r="G87" s="146" t="s">
        <v>22</v>
      </c>
      <c r="H87" s="147" t="n">
        <v>6</v>
      </c>
      <c r="I87" s="148" t="n">
        <v>2</v>
      </c>
      <c r="J87" s="148" t="n">
        <v>3</v>
      </c>
      <c r="K87" s="149" t="n">
        <v>5340.62</v>
      </c>
      <c r="L87" s="149" t="n">
        <f aca="false">M87+N87</f>
        <v>2035.11</v>
      </c>
      <c r="M87" s="149"/>
      <c r="N87" s="190" t="n">
        <v>2035.11</v>
      </c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" hidden="false" customHeight="false" outlineLevel="0" collapsed="false">
      <c r="A88" s="17"/>
      <c r="B88" s="18"/>
      <c r="C88" s="18"/>
      <c r="D88" s="18"/>
      <c r="E88" s="18"/>
      <c r="F88" s="89"/>
      <c r="G88" s="164" t="s">
        <v>26</v>
      </c>
      <c r="H88" s="178" t="n">
        <v>6</v>
      </c>
      <c r="I88" s="165" t="n">
        <v>3</v>
      </c>
      <c r="J88" s="165" t="n">
        <v>3</v>
      </c>
      <c r="K88" s="166" t="n">
        <v>6343.2</v>
      </c>
      <c r="L88" s="166" t="n">
        <f aca="false">M88+N88</f>
        <v>2290.6</v>
      </c>
      <c r="M88" s="166" t="n">
        <f aca="false">2290.6</f>
        <v>2290.6</v>
      </c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68</v>
      </c>
      <c r="C89" s="19" t="s">
        <v>20</v>
      </c>
      <c r="D89" s="19"/>
      <c r="E89" s="19" t="s">
        <v>69</v>
      </c>
      <c r="F89" s="22"/>
      <c r="G89" s="146" t="s">
        <v>22</v>
      </c>
      <c r="H89" s="147" t="n">
        <v>6</v>
      </c>
      <c r="I89" s="148" t="n">
        <v>3</v>
      </c>
      <c r="J89" s="148" t="n">
        <v>3</v>
      </c>
      <c r="K89" s="149" t="n">
        <v>4786.75</v>
      </c>
      <c r="L89" s="149" t="n">
        <f aca="false">M89+N89</f>
        <v>4786.75</v>
      </c>
      <c r="M89" s="149" t="n">
        <v>4105.29</v>
      </c>
      <c r="N89" s="190" t="n">
        <v>681.46</v>
      </c>
      <c r="O89" s="151" t="n">
        <v>14</v>
      </c>
      <c r="P89" s="149" t="n">
        <v>46890.62</v>
      </c>
      <c r="Q89" s="149" t="n">
        <f aca="false">R89+S89</f>
        <v>46890.62</v>
      </c>
      <c r="R89" s="149" t="n">
        <v>21614.18</v>
      </c>
      <c r="S89" s="190" t="n">
        <v>25276.44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26" t="s">
        <v>176</v>
      </c>
      <c r="G90" s="152" t="s">
        <v>26</v>
      </c>
      <c r="H90" s="153" t="n">
        <v>7</v>
      </c>
      <c r="I90" s="154" t="n">
        <v>2</v>
      </c>
      <c r="J90" s="154" t="n">
        <v>2</v>
      </c>
      <c r="K90" s="235" t="n">
        <v>4304</v>
      </c>
      <c r="L90" s="155" t="n">
        <f aca="false">M90+N90</f>
        <v>2819.2</v>
      </c>
      <c r="M90" s="155" t="n">
        <f aca="false">2819.2</f>
        <v>2819.2</v>
      </c>
      <c r="N90" s="156"/>
      <c r="O90" s="157"/>
      <c r="P90" s="155" t="n">
        <v>5462.2</v>
      </c>
      <c r="Q90" s="155" t="n">
        <f aca="false">R90+S90</f>
        <v>4405</v>
      </c>
      <c r="R90" s="155" t="n">
        <f aca="false">4405</f>
        <v>4405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.75" hidden="false" customHeight="true" outlineLevel="0" collapsed="false">
      <c r="A91" s="54"/>
      <c r="B91" s="55" t="s">
        <v>70</v>
      </c>
      <c r="C91" s="56" t="s">
        <v>20</v>
      </c>
      <c r="D91" s="56" t="s">
        <v>71</v>
      </c>
      <c r="E91" s="56" t="s">
        <v>25</v>
      </c>
      <c r="F91" s="36"/>
      <c r="G91" s="158" t="s">
        <v>22</v>
      </c>
      <c r="H91" s="169" t="n">
        <v>1</v>
      </c>
      <c r="I91" s="160"/>
      <c r="J91" s="160"/>
      <c r="K91" s="161"/>
      <c r="L91" s="161" t="n">
        <f aca="false">M91+N91</f>
        <v>0</v>
      </c>
      <c r="M91" s="161"/>
      <c r="N91" s="190"/>
      <c r="O91" s="163" t="n">
        <v>4</v>
      </c>
      <c r="P91" s="161" t="n">
        <v>27231.45</v>
      </c>
      <c r="Q91" s="161" t="n">
        <f aca="false">R91+S91</f>
        <v>7836.01</v>
      </c>
      <c r="R91" s="161" t="n">
        <v>7836.01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54"/>
      <c r="B92" s="55"/>
      <c r="C92" s="55"/>
      <c r="D92" s="55"/>
      <c r="E92" s="55"/>
      <c r="F92" s="26" t="s">
        <v>177</v>
      </c>
      <c r="G92" s="152" t="s">
        <v>26</v>
      </c>
      <c r="H92" s="153" t="n">
        <v>7</v>
      </c>
      <c r="I92" s="154" t="n">
        <v>1</v>
      </c>
      <c r="J92" s="154" t="n">
        <v>1</v>
      </c>
      <c r="K92" s="155" t="n">
        <v>1409.6</v>
      </c>
      <c r="L92" s="155" t="n">
        <f aca="false">M92+N92</f>
        <v>0</v>
      </c>
      <c r="M92" s="155"/>
      <c r="N92" s="156"/>
      <c r="O92" s="157"/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33"/>
      <c r="B93" s="34" t="s">
        <v>72</v>
      </c>
      <c r="C93" s="35" t="s">
        <v>20</v>
      </c>
      <c r="D93" s="35"/>
      <c r="E93" s="35" t="s">
        <v>52</v>
      </c>
      <c r="F93" s="36"/>
      <c r="G93" s="146" t="s">
        <v>22</v>
      </c>
      <c r="H93" s="159" t="n">
        <v>5</v>
      </c>
      <c r="I93" s="160" t="n">
        <v>4</v>
      </c>
      <c r="J93" s="160" t="n">
        <v>4</v>
      </c>
      <c r="K93" s="161" t="n">
        <v>6532.71</v>
      </c>
      <c r="L93" s="161" t="n">
        <f aca="false">M93+N93</f>
        <v>5486.08</v>
      </c>
      <c r="M93" s="161" t="n">
        <v>2948.8</v>
      </c>
      <c r="N93" s="190" t="n">
        <v>2537.28</v>
      </c>
      <c r="O93" s="163" t="n">
        <v>6</v>
      </c>
      <c r="P93" s="161" t="n">
        <v>44299.53</v>
      </c>
      <c r="Q93" s="161" t="n">
        <f aca="false">R93+S93</f>
        <v>44299.53</v>
      </c>
      <c r="R93" s="161" t="n">
        <v>34299.64</v>
      </c>
      <c r="S93" s="190" t="n">
        <v>9999.89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178</v>
      </c>
      <c r="G94" s="164" t="s">
        <v>26</v>
      </c>
      <c r="H94" s="171" t="n">
        <v>3</v>
      </c>
      <c r="I94" s="165" t="n">
        <v>2</v>
      </c>
      <c r="J94" s="165" t="n">
        <v>2</v>
      </c>
      <c r="K94" s="166" t="n">
        <v>1938.2</v>
      </c>
      <c r="L94" s="161" t="n">
        <f aca="false">M94+N94</f>
        <v>4052.6</v>
      </c>
      <c r="M94" s="166" t="n">
        <v>4052.6</v>
      </c>
      <c r="N94" s="156"/>
      <c r="O94" s="168" t="n">
        <v>3</v>
      </c>
      <c r="P94" s="166" t="n">
        <v>11108.48</v>
      </c>
      <c r="Q94" s="166" t="n">
        <f aca="false">R94+S94</f>
        <v>11989.48</v>
      </c>
      <c r="R94" s="166" t="n">
        <f aca="false">3347.8+8641.68</f>
        <v>11989.48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17"/>
      <c r="B95" s="18" t="s">
        <v>73</v>
      </c>
      <c r="C95" s="19" t="s">
        <v>20</v>
      </c>
      <c r="D95" s="19"/>
      <c r="E95" s="19" t="s">
        <v>52</v>
      </c>
      <c r="F95" s="20"/>
      <c r="G95" s="146" t="s">
        <v>22</v>
      </c>
      <c r="H95" s="159" t="n">
        <v>4</v>
      </c>
      <c r="I95" s="148" t="n">
        <v>2</v>
      </c>
      <c r="J95" s="148" t="n">
        <v>2</v>
      </c>
      <c r="K95" s="149" t="n">
        <v>2277.26</v>
      </c>
      <c r="L95" s="149" t="n">
        <f aca="false">M95+N95</f>
        <v>2277.26</v>
      </c>
      <c r="M95" s="149" t="n">
        <v>2277.26</v>
      </c>
      <c r="N95" s="190"/>
      <c r="O95" s="151" t="n">
        <v>4</v>
      </c>
      <c r="P95" s="149" t="n">
        <v>11448.19</v>
      </c>
      <c r="Q95" s="149" t="n">
        <f aca="false">R95+S95</f>
        <v>10069.05</v>
      </c>
      <c r="R95" s="149" t="n">
        <v>10069.05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17"/>
      <c r="B96" s="18"/>
      <c r="C96" s="18"/>
      <c r="D96" s="18"/>
      <c r="E96" s="18"/>
      <c r="F96" s="26" t="s">
        <v>179</v>
      </c>
      <c r="G96" s="152" t="s">
        <v>26</v>
      </c>
      <c r="H96" s="153" t="n">
        <v>6</v>
      </c>
      <c r="I96" s="154" t="n">
        <v>3</v>
      </c>
      <c r="J96" s="154" t="n">
        <v>3</v>
      </c>
      <c r="K96" s="155" t="n">
        <v>8454.6</v>
      </c>
      <c r="L96" s="155" t="n">
        <f aca="false">M96+N96</f>
        <v>9162.4</v>
      </c>
      <c r="M96" s="155" t="n">
        <v>5109.8</v>
      </c>
      <c r="N96" s="156" t="n">
        <v>4052.6</v>
      </c>
      <c r="O96" s="157" t="n">
        <v>2</v>
      </c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33"/>
      <c r="B97" s="34" t="s">
        <v>74</v>
      </c>
      <c r="C97" s="35" t="s">
        <v>33</v>
      </c>
      <c r="D97" s="35" t="s">
        <v>75</v>
      </c>
      <c r="E97" s="35" t="s">
        <v>25</v>
      </c>
      <c r="F97" s="36"/>
      <c r="G97" s="146" t="s">
        <v>22</v>
      </c>
      <c r="H97" s="159" t="n">
        <v>25</v>
      </c>
      <c r="I97" s="160" t="n">
        <v>18</v>
      </c>
      <c r="J97" s="160" t="n">
        <v>18</v>
      </c>
      <c r="K97" s="161" t="n">
        <v>29309.44</v>
      </c>
      <c r="L97" s="161" t="n">
        <f aca="false">M97+N97</f>
        <v>11782.59</v>
      </c>
      <c r="M97" s="161" t="n">
        <v>10561.52</v>
      </c>
      <c r="N97" s="190" t="n">
        <v>1221.07</v>
      </c>
      <c r="O97" s="163" t="n">
        <v>23</v>
      </c>
      <c r="P97" s="161" t="n">
        <v>58007.41</v>
      </c>
      <c r="Q97" s="161" t="n">
        <f aca="false">R97+S97</f>
        <v>42638.01</v>
      </c>
      <c r="R97" s="161" t="n">
        <v>40347.41</v>
      </c>
      <c r="S97" s="190" t="n">
        <v>2290.6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270</v>
      </c>
      <c r="G98" s="164" t="s">
        <v>26</v>
      </c>
      <c r="H98" s="153"/>
      <c r="I98" s="165"/>
      <c r="J98" s="165"/>
      <c r="K98" s="166"/>
      <c r="L98" s="166" t="n">
        <f aca="false">M98+N98</f>
        <v>0</v>
      </c>
      <c r="M98" s="166"/>
      <c r="N98" s="156"/>
      <c r="O98" s="168" t="n">
        <v>6</v>
      </c>
      <c r="P98" s="166" t="n">
        <v>15858</v>
      </c>
      <c r="Q98" s="166" t="n">
        <f aca="false">R98+S98</f>
        <v>21936.9</v>
      </c>
      <c r="R98" s="166" t="n">
        <v>21936.9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72"/>
      <c r="B99" s="73" t="s">
        <v>76</v>
      </c>
      <c r="C99" s="74" t="s">
        <v>20</v>
      </c>
      <c r="D99" s="74" t="s">
        <v>180</v>
      </c>
      <c r="E99" s="74" t="s">
        <v>25</v>
      </c>
      <c r="F99" s="20"/>
      <c r="G99" s="146" t="s">
        <v>22</v>
      </c>
      <c r="H99" s="159" t="n">
        <v>14</v>
      </c>
      <c r="I99" s="148" t="n">
        <v>13</v>
      </c>
      <c r="J99" s="148" t="n">
        <v>13</v>
      </c>
      <c r="K99" s="149" t="n">
        <v>11302.97</v>
      </c>
      <c r="L99" s="149" t="n">
        <f aca="false">M99+N99</f>
        <v>5035.24</v>
      </c>
      <c r="M99" s="149" t="n">
        <v>5035.24</v>
      </c>
      <c r="N99" s="190"/>
      <c r="O99" s="151" t="n">
        <v>2</v>
      </c>
      <c r="P99" s="149" t="n">
        <v>12380.09</v>
      </c>
      <c r="Q99" s="149" t="n">
        <f aca="false">R99+S99</f>
        <v>12380.09</v>
      </c>
      <c r="R99" s="149" t="n">
        <v>12380.09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 t="s">
        <v>181</v>
      </c>
      <c r="G100" s="164" t="s">
        <v>26</v>
      </c>
      <c r="H100" s="171" t="n">
        <v>5</v>
      </c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8457.6</v>
      </c>
      <c r="Q100" s="166" t="n">
        <f aca="false">R100+S100</f>
        <v>7488.5</v>
      </c>
      <c r="R100" s="165" t="n">
        <v>6431.3</v>
      </c>
      <c r="S100" s="156" t="n">
        <v>1057.2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17"/>
      <c r="B101" s="18" t="s">
        <v>77</v>
      </c>
      <c r="C101" s="19" t="s">
        <v>38</v>
      </c>
      <c r="D101" s="19" t="s">
        <v>78</v>
      </c>
      <c r="E101" s="19" t="s">
        <v>25</v>
      </c>
      <c r="F101" s="22"/>
      <c r="G101" s="146" t="s">
        <v>22</v>
      </c>
      <c r="H101" s="169" t="n">
        <v>9</v>
      </c>
      <c r="I101" s="148" t="n">
        <v>8</v>
      </c>
      <c r="J101" s="148" t="n">
        <v>9</v>
      </c>
      <c r="K101" s="149" t="n">
        <v>7482.33</v>
      </c>
      <c r="L101" s="149" t="n">
        <f aca="false">M101+N101</f>
        <v>4148.63</v>
      </c>
      <c r="M101" s="149" t="n">
        <v>4148.63</v>
      </c>
      <c r="N101" s="190"/>
      <c r="O101" s="151" t="n">
        <v>6</v>
      </c>
      <c r="P101" s="149" t="n">
        <v>12279.73</v>
      </c>
      <c r="Q101" s="149" t="n">
        <f aca="false">R101+S101</f>
        <v>8651.42</v>
      </c>
      <c r="R101" s="149" t="n">
        <v>8651.42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 t="s">
        <v>182</v>
      </c>
      <c r="G102" s="180" t="s">
        <v>26</v>
      </c>
      <c r="H102" s="159" t="n">
        <v>5</v>
      </c>
      <c r="I102" s="181" t="n">
        <v>1</v>
      </c>
      <c r="J102" s="181" t="n">
        <v>1</v>
      </c>
      <c r="K102" s="182" t="n">
        <v>4581.2</v>
      </c>
      <c r="L102" s="182" t="n">
        <f aca="false">M102+N102</f>
        <v>0</v>
      </c>
      <c r="M102" s="182"/>
      <c r="N102" s="167"/>
      <c r="O102" s="184" t="n">
        <v>8</v>
      </c>
      <c r="P102" s="182" t="n">
        <v>19029.6</v>
      </c>
      <c r="Q102" s="182" t="n">
        <f aca="false">R102+S102</f>
        <v>9514.8</v>
      </c>
      <c r="R102" s="182" t="n">
        <f aca="false">8986.2</f>
        <v>8986.2</v>
      </c>
      <c r="S102" s="167" t="n">
        <v>528.6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false" outlineLevel="0" collapsed="false">
      <c r="A103" s="17"/>
      <c r="B103" s="18"/>
      <c r="C103" s="18"/>
      <c r="D103" s="18"/>
      <c r="E103" s="18"/>
      <c r="F103" s="85" t="s">
        <v>237</v>
      </c>
      <c r="G103" s="185" t="s">
        <v>23</v>
      </c>
      <c r="H103" s="186" t="n">
        <v>2</v>
      </c>
      <c r="I103" s="154" t="n">
        <v>2</v>
      </c>
      <c r="J103" s="154" t="n">
        <v>2</v>
      </c>
      <c r="K103" s="155" t="n">
        <v>9338.6</v>
      </c>
      <c r="L103" s="155" t="n">
        <v>1585.8</v>
      </c>
      <c r="M103" s="155" t="n">
        <v>1585.8</v>
      </c>
      <c r="N103" s="156" t="n">
        <v>3347.8</v>
      </c>
      <c r="O103" s="157" t="n">
        <v>4</v>
      </c>
      <c r="P103" s="155" t="n">
        <v>8281.4</v>
      </c>
      <c r="Q103" s="155" t="n">
        <v>7752.8</v>
      </c>
      <c r="R103" s="155" t="n">
        <v>7752.8</v>
      </c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33"/>
      <c r="B104" s="34" t="s">
        <v>79</v>
      </c>
      <c r="C104" s="35" t="s">
        <v>20</v>
      </c>
      <c r="D104" s="35"/>
      <c r="E104" s="35" t="s">
        <v>52</v>
      </c>
      <c r="F104" s="38"/>
      <c r="G104" s="146" t="s">
        <v>22</v>
      </c>
      <c r="H104" s="159" t="n">
        <v>7</v>
      </c>
      <c r="I104" s="160" t="n">
        <v>2</v>
      </c>
      <c r="J104" s="160" t="n">
        <v>3</v>
      </c>
      <c r="K104" s="161" t="n">
        <v>5452.69</v>
      </c>
      <c r="L104" s="161" t="n">
        <f aca="false">M104+N104</f>
        <v>5452.69</v>
      </c>
      <c r="M104" s="161" t="n">
        <v>5452.69</v>
      </c>
      <c r="N104" s="190"/>
      <c r="O104" s="163" t="n">
        <v>9</v>
      </c>
      <c r="P104" s="161" t="n">
        <v>33475.92</v>
      </c>
      <c r="Q104" s="161" t="n">
        <f aca="false">R104+S104</f>
        <v>23178.94</v>
      </c>
      <c r="R104" s="161" t="n">
        <v>23178.94</v>
      </c>
      <c r="S104" s="19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164" t="s">
        <v>26</v>
      </c>
      <c r="H105" s="153"/>
      <c r="I105" s="165"/>
      <c r="J105" s="165"/>
      <c r="K105" s="166"/>
      <c r="L105" s="166" t="n">
        <f aca="false">M105+N105</f>
        <v>0</v>
      </c>
      <c r="M105" s="166"/>
      <c r="N105" s="156"/>
      <c r="O105" s="168"/>
      <c r="P105" s="166"/>
      <c r="Q105" s="166" t="n">
        <f aca="false">R105+S105</f>
        <v>0</v>
      </c>
      <c r="R105" s="166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72"/>
      <c r="B106" s="73" t="s">
        <v>80</v>
      </c>
      <c r="C106" s="74" t="s">
        <v>20</v>
      </c>
      <c r="D106" s="74"/>
      <c r="E106" s="74" t="s">
        <v>81</v>
      </c>
      <c r="F106" s="20"/>
      <c r="G106" s="146" t="s">
        <v>22</v>
      </c>
      <c r="H106" s="159" t="n">
        <v>5</v>
      </c>
      <c r="I106" s="148" t="n">
        <v>3</v>
      </c>
      <c r="J106" s="148" t="n">
        <v>3</v>
      </c>
      <c r="K106" s="149" t="n">
        <v>5612.43</v>
      </c>
      <c r="L106" s="149" t="n">
        <f aca="false">M106+N106</f>
        <v>4345.8</v>
      </c>
      <c r="M106" s="149" t="n">
        <v>3473.61</v>
      </c>
      <c r="N106" s="190" t="n">
        <v>872.19</v>
      </c>
      <c r="O106" s="151"/>
      <c r="P106" s="149"/>
      <c r="Q106" s="149" t="n">
        <f aca="false">R106+S106</f>
        <v>0</v>
      </c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72"/>
      <c r="B107" s="73"/>
      <c r="C107" s="73"/>
      <c r="D107" s="73"/>
      <c r="E107" s="73"/>
      <c r="F107" s="42" t="s">
        <v>183</v>
      </c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/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17"/>
      <c r="B108" s="18" t="s">
        <v>82</v>
      </c>
      <c r="C108" s="19" t="s">
        <v>20</v>
      </c>
      <c r="D108" s="19" t="s">
        <v>184</v>
      </c>
      <c r="E108" s="19" t="s">
        <v>25</v>
      </c>
      <c r="F108" s="22"/>
      <c r="G108" s="146" t="s">
        <v>22</v>
      </c>
      <c r="H108" s="159" t="n">
        <v>22</v>
      </c>
      <c r="I108" s="148" t="n">
        <v>19</v>
      </c>
      <c r="J108" s="148" t="n">
        <v>21</v>
      </c>
      <c r="K108" s="149" t="n">
        <v>18644.37</v>
      </c>
      <c r="L108" s="149" t="n">
        <f aca="false">M108+N108</f>
        <v>15002.32</v>
      </c>
      <c r="M108" s="149" t="n">
        <v>12611.29</v>
      </c>
      <c r="N108" s="190" t="n">
        <v>2391.03</v>
      </c>
      <c r="O108" s="151" t="n">
        <v>2</v>
      </c>
      <c r="P108" s="149" t="n">
        <v>8372.97</v>
      </c>
      <c r="Q108" s="149" t="n">
        <f aca="false">R108+S108</f>
        <v>8372.97</v>
      </c>
      <c r="R108" s="149" t="n">
        <v>8372.97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42" t="s">
        <v>185</v>
      </c>
      <c r="G109" s="164" t="s">
        <v>26</v>
      </c>
      <c r="H109" s="175" t="n">
        <v>3</v>
      </c>
      <c r="I109" s="165" t="n">
        <v>2</v>
      </c>
      <c r="J109" s="165" t="n">
        <v>2</v>
      </c>
      <c r="K109" s="166" t="n">
        <v>6519.4</v>
      </c>
      <c r="L109" s="166" t="n">
        <f aca="false">M109+N109</f>
        <v>0</v>
      </c>
      <c r="M109" s="166"/>
      <c r="N109" s="156"/>
      <c r="O109" s="168" t="n">
        <v>2</v>
      </c>
      <c r="P109" s="166" t="n">
        <v>3171.6</v>
      </c>
      <c r="Q109" s="166" t="n">
        <f aca="false">R109+S109</f>
        <v>2643</v>
      </c>
      <c r="R109" s="166" t="n">
        <f aca="false">2643</f>
        <v>2643</v>
      </c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232"/>
      <c r="B110" s="233" t="s">
        <v>254</v>
      </c>
      <c r="C110" s="19" t="s">
        <v>20</v>
      </c>
      <c r="D110" s="19"/>
      <c r="E110" s="19" t="s">
        <v>25</v>
      </c>
      <c r="F110" s="20"/>
      <c r="G110" s="146" t="s">
        <v>22</v>
      </c>
      <c r="H110" s="173"/>
      <c r="I110" s="148"/>
      <c r="J110" s="148"/>
      <c r="K110" s="149"/>
      <c r="L110" s="149"/>
      <c r="M110" s="149"/>
      <c r="N110" s="190"/>
      <c r="O110" s="206"/>
      <c r="P110" s="149"/>
      <c r="Q110" s="149"/>
      <c r="R110" s="149"/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" hidden="false" customHeight="false" outlineLevel="0" collapsed="false">
      <c r="A111" s="232"/>
      <c r="B111" s="233"/>
      <c r="C111" s="19"/>
      <c r="D111" s="19"/>
      <c r="E111" s="19"/>
      <c r="F111" s="26" t="s">
        <v>271</v>
      </c>
      <c r="G111" s="152" t="s">
        <v>26</v>
      </c>
      <c r="H111" s="174" t="n">
        <v>4</v>
      </c>
      <c r="I111" s="154"/>
      <c r="J111" s="154"/>
      <c r="K111" s="155"/>
      <c r="L111" s="155"/>
      <c r="M111" s="155"/>
      <c r="N111" s="156"/>
      <c r="O111" s="209"/>
      <c r="P111" s="155"/>
      <c r="Q111" s="155"/>
      <c r="R111" s="155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54"/>
      <c r="B112" s="55" t="s">
        <v>83</v>
      </c>
      <c r="C112" s="56" t="s">
        <v>20</v>
      </c>
      <c r="D112" s="56"/>
      <c r="E112" s="56" t="s">
        <v>25</v>
      </c>
      <c r="F112" s="36"/>
      <c r="G112" s="158" t="s">
        <v>22</v>
      </c>
      <c r="H112" s="159" t="n">
        <v>12</v>
      </c>
      <c r="I112" s="160" t="n">
        <v>9</v>
      </c>
      <c r="J112" s="160" t="n">
        <v>9</v>
      </c>
      <c r="K112" s="161" t="n">
        <v>9100.55</v>
      </c>
      <c r="L112" s="161" t="n">
        <f aca="false">M112+N112</f>
        <v>6281.55</v>
      </c>
      <c r="M112" s="161" t="n">
        <v>6281.55</v>
      </c>
      <c r="N112" s="190"/>
      <c r="O112" s="163" t="n">
        <v>4</v>
      </c>
      <c r="P112" s="161" t="n">
        <v>12699.66</v>
      </c>
      <c r="Q112" s="161" t="n">
        <f aca="false">R112+S112</f>
        <v>10585.46</v>
      </c>
      <c r="R112" s="161" t="n">
        <v>5828.06</v>
      </c>
      <c r="S112" s="190" t="n">
        <v>4757.4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54"/>
      <c r="B113" s="55"/>
      <c r="C113" s="55"/>
      <c r="D113" s="55"/>
      <c r="E113" s="55"/>
      <c r="F113" s="26" t="s">
        <v>186</v>
      </c>
      <c r="G113" s="152" t="s">
        <v>26</v>
      </c>
      <c r="H113" s="153" t="n">
        <v>4</v>
      </c>
      <c r="I113" s="154"/>
      <c r="J113" s="154"/>
      <c r="K113" s="155"/>
      <c r="L113" s="155" t="n">
        <f aca="false">M113+N113</f>
        <v>0</v>
      </c>
      <c r="M113" s="155"/>
      <c r="N113" s="156"/>
      <c r="O113" s="157" t="n">
        <v>4</v>
      </c>
      <c r="P113" s="155" t="n">
        <v>11805.4</v>
      </c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33"/>
      <c r="B114" s="34" t="s">
        <v>84</v>
      </c>
      <c r="C114" s="35" t="s">
        <v>20</v>
      </c>
      <c r="D114" s="35"/>
      <c r="E114" s="35" t="s">
        <v>52</v>
      </c>
      <c r="F114" s="36"/>
      <c r="G114" s="146" t="s">
        <v>22</v>
      </c>
      <c r="H114" s="159" t="n">
        <v>23</v>
      </c>
      <c r="I114" s="160" t="n">
        <v>15</v>
      </c>
      <c r="J114" s="160" t="n">
        <v>22</v>
      </c>
      <c r="K114" s="161" t="n">
        <v>39989.79</v>
      </c>
      <c r="L114" s="161" t="n">
        <f aca="false">M114+N114</f>
        <v>12299.99</v>
      </c>
      <c r="M114" s="161" t="n">
        <v>12299.99</v>
      </c>
      <c r="N114" s="190"/>
      <c r="O114" s="163" t="n">
        <v>26</v>
      </c>
      <c r="P114" s="161" t="n">
        <v>50568.54</v>
      </c>
      <c r="Q114" s="161" t="n">
        <f aca="false">R114+S114</f>
        <v>32814.22</v>
      </c>
      <c r="R114" s="161" t="n">
        <v>32814.22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33"/>
      <c r="B115" s="34"/>
      <c r="C115" s="34"/>
      <c r="D115" s="34"/>
      <c r="E115" s="34"/>
      <c r="F115" s="71"/>
      <c r="G115" s="164" t="s">
        <v>26</v>
      </c>
      <c r="H115" s="153"/>
      <c r="I115" s="165"/>
      <c r="J115" s="165"/>
      <c r="K115" s="166"/>
      <c r="L115" s="166" t="n">
        <f aca="false">M115+N115</f>
        <v>0</v>
      </c>
      <c r="M115" s="166"/>
      <c r="N115" s="156"/>
      <c r="O115" s="168"/>
      <c r="P115" s="166"/>
      <c r="Q115" s="166" t="n">
        <f aca="false">R115+S115</f>
        <v>0</v>
      </c>
      <c r="R115" s="166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85</v>
      </c>
      <c r="C116" s="19" t="s">
        <v>20</v>
      </c>
      <c r="D116" s="19"/>
      <c r="E116" s="19" t="s">
        <v>25</v>
      </c>
      <c r="F116" s="87"/>
      <c r="G116" s="146" t="s">
        <v>22</v>
      </c>
      <c r="H116" s="169" t="n">
        <v>3</v>
      </c>
      <c r="I116" s="148" t="n">
        <v>1</v>
      </c>
      <c r="J116" s="148" t="n">
        <v>1</v>
      </c>
      <c r="K116" s="149" t="n">
        <v>528.6</v>
      </c>
      <c r="L116" s="149" t="n">
        <f aca="false">M116+N116</f>
        <v>528.6</v>
      </c>
      <c r="M116" s="149" t="n">
        <v>528.6</v>
      </c>
      <c r="N116" s="190"/>
      <c r="O116" s="151" t="n">
        <v>1</v>
      </c>
      <c r="P116" s="149" t="n">
        <v>1162.92</v>
      </c>
      <c r="Q116" s="149" t="n">
        <f aca="false">R116+S116</f>
        <v>1162.92</v>
      </c>
      <c r="R116" s="149" t="n">
        <v>1162.92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88"/>
      <c r="G117" s="152" t="s">
        <v>26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17"/>
      <c r="B118" s="73" t="s">
        <v>86</v>
      </c>
      <c r="C118" s="74" t="s">
        <v>33</v>
      </c>
      <c r="D118" s="74" t="s">
        <v>87</v>
      </c>
      <c r="E118" s="74" t="s">
        <v>88</v>
      </c>
      <c r="F118" s="20"/>
      <c r="G118" s="146" t="s">
        <v>22</v>
      </c>
      <c r="H118" s="169" t="n">
        <v>21</v>
      </c>
      <c r="I118" s="148" t="n">
        <v>14</v>
      </c>
      <c r="J118" s="148" t="n">
        <v>16</v>
      </c>
      <c r="K118" s="149" t="n">
        <v>18151.65</v>
      </c>
      <c r="L118" s="149" t="n">
        <f aca="false">M118+N118</f>
        <v>11020.18</v>
      </c>
      <c r="M118" s="149" t="n">
        <v>11020.18</v>
      </c>
      <c r="N118" s="190"/>
      <c r="O118" s="151" t="n">
        <v>15</v>
      </c>
      <c r="P118" s="149" t="n">
        <v>19146</v>
      </c>
      <c r="Q118" s="149" t="n">
        <f aca="false">R118+S118</f>
        <v>12627.56</v>
      </c>
      <c r="R118" s="149" t="n">
        <v>12627.56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73"/>
      <c r="C119" s="73"/>
      <c r="D119" s="73"/>
      <c r="E119" s="73"/>
      <c r="F119" s="42" t="s">
        <v>238</v>
      </c>
      <c r="G119" s="164" t="s">
        <v>23</v>
      </c>
      <c r="H119" s="171" t="n">
        <v>18</v>
      </c>
      <c r="I119" s="165" t="n">
        <v>8</v>
      </c>
      <c r="J119" s="165" t="n">
        <v>8</v>
      </c>
      <c r="K119" s="166" t="n">
        <v>9162.4</v>
      </c>
      <c r="L119" s="166" t="n">
        <v>5990.8</v>
      </c>
      <c r="M119" s="166" t="n">
        <v>5990.8</v>
      </c>
      <c r="N119" s="156"/>
      <c r="O119" s="168" t="n">
        <v>11</v>
      </c>
      <c r="P119" s="166" t="n">
        <v>27927.7</v>
      </c>
      <c r="Q119" s="166" t="n">
        <v>20527.3</v>
      </c>
      <c r="R119" s="166" t="n">
        <v>20527.3</v>
      </c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89</v>
      </c>
      <c r="C120" s="19" t="s">
        <v>20</v>
      </c>
      <c r="D120" s="19" t="s">
        <v>90</v>
      </c>
      <c r="E120" s="19" t="s">
        <v>42</v>
      </c>
      <c r="F120" s="20"/>
      <c r="G120" s="146" t="s">
        <v>22</v>
      </c>
      <c r="H120" s="159" t="n">
        <v>20</v>
      </c>
      <c r="I120" s="148" t="n">
        <v>11</v>
      </c>
      <c r="J120" s="148" t="n">
        <v>13</v>
      </c>
      <c r="K120" s="149" t="n">
        <v>37713.9</v>
      </c>
      <c r="L120" s="149" t="n">
        <f aca="false">M120+N120</f>
        <v>17842.41</v>
      </c>
      <c r="M120" s="149" t="n">
        <v>8527.08</v>
      </c>
      <c r="N120" s="190" t="n">
        <v>9315.33</v>
      </c>
      <c r="O120" s="151" t="n">
        <v>16</v>
      </c>
      <c r="P120" s="149" t="n">
        <v>56067.55</v>
      </c>
      <c r="Q120" s="149" t="n">
        <f aca="false">R120+S120</f>
        <v>51532.2</v>
      </c>
      <c r="R120" s="149" t="n">
        <v>31237.61</v>
      </c>
      <c r="S120" s="190" t="n">
        <v>20294.59</v>
      </c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26" t="s">
        <v>239</v>
      </c>
      <c r="G121" s="152" t="s">
        <v>23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33"/>
      <c r="B122" s="34" t="s">
        <v>91</v>
      </c>
      <c r="C122" s="35" t="s">
        <v>33</v>
      </c>
      <c r="D122" s="35" t="s">
        <v>92</v>
      </c>
      <c r="E122" s="35" t="s">
        <v>25</v>
      </c>
      <c r="F122" s="38" t="s">
        <v>239</v>
      </c>
      <c r="G122" s="146" t="s">
        <v>22</v>
      </c>
      <c r="H122" s="159" t="n">
        <v>17</v>
      </c>
      <c r="I122" s="160" t="n">
        <v>7</v>
      </c>
      <c r="J122" s="160" t="n">
        <v>7</v>
      </c>
      <c r="K122" s="161" t="n">
        <v>20085.66</v>
      </c>
      <c r="L122" s="161" t="n">
        <f aca="false">M122+N122</f>
        <v>4915.98</v>
      </c>
      <c r="M122" s="161" t="n">
        <v>4915.98</v>
      </c>
      <c r="N122" s="190"/>
      <c r="O122" s="163" t="n">
        <v>10</v>
      </c>
      <c r="P122" s="161" t="n">
        <v>64219.7</v>
      </c>
      <c r="Q122" s="161" t="n">
        <f aca="false">R122+S122</f>
        <v>55873.9</v>
      </c>
      <c r="R122" s="161" t="n">
        <v>55873.9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33"/>
      <c r="B123" s="34"/>
      <c r="C123" s="34"/>
      <c r="D123" s="34"/>
      <c r="E123" s="34"/>
      <c r="F123" s="89"/>
      <c r="G123" s="187" t="s">
        <v>23</v>
      </c>
      <c r="H123" s="169"/>
      <c r="I123" s="188"/>
      <c r="J123" s="188"/>
      <c r="K123" s="189"/>
      <c r="L123" s="189" t="n">
        <f aca="false">M123+N123</f>
        <v>0</v>
      </c>
      <c r="M123" s="189"/>
      <c r="N123" s="167"/>
      <c r="O123" s="191"/>
      <c r="P123" s="189"/>
      <c r="Q123" s="189" t="n">
        <f aca="false">R123+S123</f>
        <v>0</v>
      </c>
      <c r="R123" s="189"/>
      <c r="S123" s="167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/>
      <c r="C124" s="34"/>
      <c r="D124" s="34"/>
      <c r="E124" s="34"/>
      <c r="F124" s="42" t="s">
        <v>187</v>
      </c>
      <c r="G124" s="164" t="s">
        <v>26</v>
      </c>
      <c r="H124" s="171" t="n">
        <v>5</v>
      </c>
      <c r="I124" s="165" t="n">
        <v>1</v>
      </c>
      <c r="J124" s="165" t="n">
        <v>2</v>
      </c>
      <c r="K124" s="166" t="n">
        <v>4193.56</v>
      </c>
      <c r="L124" s="166" t="n">
        <f aca="false">M124+N124</f>
        <v>2290.6</v>
      </c>
      <c r="M124" s="166" t="n">
        <f aca="false">2266.65+23.95</f>
        <v>2290.6</v>
      </c>
      <c r="N124" s="156"/>
      <c r="O124" s="168" t="n">
        <v>7</v>
      </c>
      <c r="P124" s="166" t="n">
        <v>29143.12</v>
      </c>
      <c r="Q124" s="166" t="n">
        <f aca="false">R124+S124</f>
        <v>29143.48</v>
      </c>
      <c r="R124" s="166" t="n">
        <f aca="false">29167.43-47.9+23.95</f>
        <v>29143.48</v>
      </c>
      <c r="S124" s="156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 t="s">
        <v>93</v>
      </c>
      <c r="C125" s="19" t="s">
        <v>20</v>
      </c>
      <c r="D125" s="49"/>
      <c r="E125" s="19" t="s">
        <v>50</v>
      </c>
      <c r="F125" s="87"/>
      <c r="G125" s="146" t="s">
        <v>22</v>
      </c>
      <c r="H125" s="169" t="n">
        <v>6</v>
      </c>
      <c r="I125" s="148"/>
      <c r="J125" s="148"/>
      <c r="K125" s="149"/>
      <c r="L125" s="149" t="n">
        <f aca="false">M125+N125</f>
        <v>0</v>
      </c>
      <c r="M125" s="149"/>
      <c r="N125" s="190"/>
      <c r="O125" s="151"/>
      <c r="P125" s="149"/>
      <c r="Q125" s="149" t="n">
        <f aca="false">R125+S125</f>
        <v>0</v>
      </c>
      <c r="R125" s="149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88" t="s">
        <v>188</v>
      </c>
      <c r="G126" s="152" t="s">
        <v>26</v>
      </c>
      <c r="H126" s="171" t="n">
        <v>6</v>
      </c>
      <c r="I126" s="154"/>
      <c r="J126" s="154"/>
      <c r="K126" s="155"/>
      <c r="L126" s="155" t="n">
        <f aca="false">M126+N126</f>
        <v>0</v>
      </c>
      <c r="M126" s="155"/>
      <c r="N126" s="156"/>
      <c r="O126" s="157"/>
      <c r="P126" s="155"/>
      <c r="Q126" s="155" t="n">
        <f aca="false">R126+S126</f>
        <v>0</v>
      </c>
      <c r="R126" s="155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" hidden="false" customHeight="true" outlineLevel="0" collapsed="false">
      <c r="A127" s="54"/>
      <c r="B127" s="55" t="s">
        <v>94</v>
      </c>
      <c r="C127" s="56" t="s">
        <v>20</v>
      </c>
      <c r="D127" s="56"/>
      <c r="E127" s="56" t="s">
        <v>52</v>
      </c>
      <c r="F127" s="36"/>
      <c r="G127" s="158" t="s">
        <v>22</v>
      </c>
      <c r="H127" s="159" t="n">
        <v>9</v>
      </c>
      <c r="I127" s="160" t="n">
        <v>5</v>
      </c>
      <c r="J127" s="160" t="n">
        <v>5</v>
      </c>
      <c r="K127" s="161" t="n">
        <v>4891.75</v>
      </c>
      <c r="L127" s="161" t="n">
        <f aca="false">M127+N127</f>
        <v>2133.78</v>
      </c>
      <c r="M127" s="161" t="n">
        <v>2133.78</v>
      </c>
      <c r="N127" s="190"/>
      <c r="O127" s="163" t="n">
        <v>8</v>
      </c>
      <c r="P127" s="161" t="n">
        <v>22461.42</v>
      </c>
      <c r="Q127" s="161" t="n">
        <f aca="false">R127+S127</f>
        <v>17787.53</v>
      </c>
      <c r="R127" s="161" t="n">
        <v>17787.53</v>
      </c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54"/>
      <c r="B128" s="55"/>
      <c r="C128" s="55"/>
      <c r="D128" s="55"/>
      <c r="E128" s="55"/>
      <c r="F128" s="42" t="s">
        <v>189</v>
      </c>
      <c r="G128" s="164" t="s">
        <v>26</v>
      </c>
      <c r="H128" s="171" t="n">
        <v>10</v>
      </c>
      <c r="I128" s="154" t="n">
        <v>1</v>
      </c>
      <c r="J128" s="154" t="n">
        <v>1</v>
      </c>
      <c r="K128" s="155" t="n">
        <v>2446.8</v>
      </c>
      <c r="L128" s="155" t="n">
        <f aca="false">M128+N128</f>
        <v>0</v>
      </c>
      <c r="M128" s="155"/>
      <c r="N128" s="156"/>
      <c r="O128" s="157" t="n">
        <v>5</v>
      </c>
      <c r="P128" s="155" t="n">
        <v>6871.8</v>
      </c>
      <c r="Q128" s="155" t="n">
        <f aca="false">R128+S128</f>
        <v>1585.8</v>
      </c>
      <c r="R128" s="155" t="n">
        <v>1585.8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33"/>
      <c r="B129" s="34" t="s">
        <v>95</v>
      </c>
      <c r="C129" s="35" t="s">
        <v>33</v>
      </c>
      <c r="D129" s="35" t="s">
        <v>96</v>
      </c>
      <c r="E129" s="35" t="s">
        <v>88</v>
      </c>
      <c r="F129" s="22"/>
      <c r="G129" s="146" t="s">
        <v>22</v>
      </c>
      <c r="H129" s="159" t="n">
        <v>14</v>
      </c>
      <c r="I129" s="160" t="n">
        <v>8</v>
      </c>
      <c r="J129" s="192" t="n">
        <v>8</v>
      </c>
      <c r="K129" s="161" t="n">
        <v>11316.44</v>
      </c>
      <c r="L129" s="161" t="n">
        <f aca="false">M129+N129</f>
        <v>11316.44</v>
      </c>
      <c r="M129" s="161" t="n">
        <v>11316.44</v>
      </c>
      <c r="N129" s="190"/>
      <c r="O129" s="163"/>
      <c r="P129" s="161"/>
      <c r="Q129" s="161" t="n">
        <f aca="false">R129+S129</f>
        <v>0</v>
      </c>
      <c r="R129" s="161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33"/>
      <c r="B130" s="34"/>
      <c r="C130" s="34"/>
      <c r="D130" s="34"/>
      <c r="E130" s="34"/>
      <c r="F130" s="42" t="s">
        <v>240</v>
      </c>
      <c r="G130" s="164" t="s">
        <v>23</v>
      </c>
      <c r="H130" s="171" t="n">
        <v>6</v>
      </c>
      <c r="I130" s="165"/>
      <c r="J130" s="165"/>
      <c r="K130" s="166"/>
      <c r="L130" s="166" t="n">
        <f aca="false">M130+N130</f>
        <v>0</v>
      </c>
      <c r="M130" s="166"/>
      <c r="N130" s="156"/>
      <c r="O130" s="168" t="n">
        <v>1</v>
      </c>
      <c r="P130" s="166" t="n">
        <v>6167</v>
      </c>
      <c r="Q130" s="166" t="n">
        <f aca="false">R130+S130</f>
        <v>0</v>
      </c>
      <c r="R130" s="166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72"/>
      <c r="B131" s="73" t="s">
        <v>97</v>
      </c>
      <c r="C131" s="74" t="s">
        <v>20</v>
      </c>
      <c r="D131" s="74"/>
      <c r="E131" s="74" t="s">
        <v>98</v>
      </c>
      <c r="F131" s="20"/>
      <c r="G131" s="146" t="s">
        <v>22</v>
      </c>
      <c r="H131" s="159" t="n">
        <v>7</v>
      </c>
      <c r="I131" s="148" t="n">
        <v>5</v>
      </c>
      <c r="J131" s="148" t="n">
        <v>5</v>
      </c>
      <c r="K131" s="149" t="n">
        <v>6540.54</v>
      </c>
      <c r="L131" s="149" t="n">
        <f aca="false">M131+N131</f>
        <v>2223.64</v>
      </c>
      <c r="M131" s="149" t="n">
        <v>2223.64</v>
      </c>
      <c r="N131" s="190"/>
      <c r="O131" s="151" t="n">
        <v>9</v>
      </c>
      <c r="P131" s="149" t="n">
        <v>43045.94</v>
      </c>
      <c r="Q131" s="149" t="n">
        <f aca="false">R131+S131</f>
        <v>19174.92</v>
      </c>
      <c r="R131" s="149" t="n">
        <v>19174.92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72"/>
      <c r="B132" s="73"/>
      <c r="C132" s="73"/>
      <c r="D132" s="73"/>
      <c r="E132" s="73"/>
      <c r="F132" s="42" t="s">
        <v>241</v>
      </c>
      <c r="G132" s="164" t="s">
        <v>23</v>
      </c>
      <c r="H132" s="172" t="n">
        <v>16</v>
      </c>
      <c r="I132" s="165" t="n">
        <v>12</v>
      </c>
      <c r="J132" s="165" t="n">
        <v>12</v>
      </c>
      <c r="K132" s="166" t="n">
        <v>10395.8</v>
      </c>
      <c r="L132" s="166" t="n">
        <v>2605.89</v>
      </c>
      <c r="M132" s="166" t="n">
        <v>2605.89</v>
      </c>
      <c r="N132" s="156" t="n">
        <v>565.71</v>
      </c>
      <c r="O132" s="168" t="n">
        <v>11</v>
      </c>
      <c r="P132" s="166" t="n">
        <v>28192</v>
      </c>
      <c r="Q132" s="166" t="n">
        <v>18677.2</v>
      </c>
      <c r="R132" s="166" t="n">
        <v>18677.2</v>
      </c>
      <c r="S132" s="156" t="n">
        <v>2643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 t="s">
        <v>156</v>
      </c>
      <c r="C133" s="19"/>
      <c r="D133" s="19"/>
      <c r="E133" s="19"/>
      <c r="F133" s="20"/>
      <c r="G133" s="146" t="s">
        <v>22</v>
      </c>
      <c r="H133" s="173" t="n">
        <v>21</v>
      </c>
      <c r="I133" s="148" t="n">
        <v>12</v>
      </c>
      <c r="J133" s="148" t="n">
        <v>15</v>
      </c>
      <c r="K133" s="149" t="n">
        <v>25854.34</v>
      </c>
      <c r="L133" s="149" t="n">
        <f aca="false">M133+N133</f>
        <v>14834.62</v>
      </c>
      <c r="M133" s="149" t="n">
        <v>14834.62</v>
      </c>
      <c r="N133" s="190"/>
      <c r="O133" s="151"/>
      <c r="P133" s="149"/>
      <c r="Q133" s="149" t="n">
        <f aca="false">R133+S133</f>
        <v>0</v>
      </c>
      <c r="R133" s="149"/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89" t="s">
        <v>272</v>
      </c>
      <c r="G134" s="187" t="s">
        <v>26</v>
      </c>
      <c r="H134" s="172" t="n">
        <v>10</v>
      </c>
      <c r="I134" s="188" t="n">
        <v>5</v>
      </c>
      <c r="J134" s="188" t="n">
        <v>5</v>
      </c>
      <c r="K134" s="189" t="n">
        <v>4754.4</v>
      </c>
      <c r="L134" s="189" t="n">
        <f aca="false">M134+N134</f>
        <v>1233.4</v>
      </c>
      <c r="M134" s="189" t="n">
        <f aca="false">1233.4</f>
        <v>1233.4</v>
      </c>
      <c r="N134" s="167"/>
      <c r="O134" s="191"/>
      <c r="P134" s="189"/>
      <c r="Q134" s="189" t="n">
        <f aca="false">R134+S134</f>
        <v>0</v>
      </c>
      <c r="R134" s="189"/>
      <c r="S134" s="167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/>
      <c r="C135" s="18"/>
      <c r="D135" s="18"/>
      <c r="E135" s="18"/>
      <c r="F135" s="71"/>
      <c r="G135" s="164" t="s">
        <v>23</v>
      </c>
      <c r="H135" s="177"/>
      <c r="I135" s="165"/>
      <c r="J135" s="165"/>
      <c r="K135" s="166"/>
      <c r="L135" s="166" t="n">
        <f aca="false">M135+N135</f>
        <v>0</v>
      </c>
      <c r="M135" s="166"/>
      <c r="N135" s="156"/>
      <c r="O135" s="168"/>
      <c r="P135" s="166"/>
      <c r="Q135" s="166" t="n">
        <f aca="false">R135+S135</f>
        <v>0</v>
      </c>
      <c r="R135" s="166"/>
      <c r="S135" s="156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 t="s">
        <v>190</v>
      </c>
      <c r="C136" s="19"/>
      <c r="D136" s="19"/>
      <c r="E136" s="19"/>
      <c r="F136" s="20"/>
      <c r="G136" s="146" t="s">
        <v>22</v>
      </c>
      <c r="H136" s="173" t="n">
        <v>6</v>
      </c>
      <c r="I136" s="148"/>
      <c r="J136" s="148"/>
      <c r="K136" s="149"/>
      <c r="L136" s="149" t="n">
        <f aca="false">M136+N136</f>
        <v>0</v>
      </c>
      <c r="M136" s="149"/>
      <c r="N136" s="190"/>
      <c r="O136" s="151"/>
      <c r="P136" s="149"/>
      <c r="Q136" s="149" t="n">
        <f aca="false">R136+S136</f>
        <v>0</v>
      </c>
      <c r="R136" s="149"/>
      <c r="S136" s="190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26" t="s">
        <v>242</v>
      </c>
      <c r="G137" s="152" t="s">
        <v>23</v>
      </c>
      <c r="H137" s="174" t="n">
        <v>2</v>
      </c>
      <c r="I137" s="154"/>
      <c r="J137" s="154"/>
      <c r="K137" s="155"/>
      <c r="L137" s="155" t="n">
        <f aca="false">M137+N137</f>
        <v>0</v>
      </c>
      <c r="M137" s="155"/>
      <c r="N137" s="156"/>
      <c r="O137" s="157"/>
      <c r="P137" s="155"/>
      <c r="Q137" s="155" t="n">
        <f aca="false">R137+S137</f>
        <v>0</v>
      </c>
      <c r="R137" s="155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54"/>
      <c r="B138" s="55" t="s">
        <v>99</v>
      </c>
      <c r="C138" s="56" t="s">
        <v>33</v>
      </c>
      <c r="D138" s="56" t="s">
        <v>100</v>
      </c>
      <c r="E138" s="56" t="s">
        <v>101</v>
      </c>
      <c r="F138" s="36"/>
      <c r="G138" s="158" t="s">
        <v>22</v>
      </c>
      <c r="H138" s="159" t="n">
        <v>22</v>
      </c>
      <c r="I138" s="160" t="n">
        <v>16</v>
      </c>
      <c r="J138" s="160" t="n">
        <v>16</v>
      </c>
      <c r="K138" s="161" t="n">
        <v>4757.4</v>
      </c>
      <c r="L138" s="161" t="n">
        <f aca="false">M138+N138</f>
        <v>4757.4</v>
      </c>
      <c r="M138" s="161" t="n">
        <v>4493.1</v>
      </c>
      <c r="N138" s="190" t="n">
        <v>264.3</v>
      </c>
      <c r="O138" s="163" t="n">
        <v>22</v>
      </c>
      <c r="P138" s="161" t="n">
        <v>38323.95</v>
      </c>
      <c r="Q138" s="161" t="n">
        <f aca="false">R138+S138</f>
        <v>38323.95</v>
      </c>
      <c r="R138" s="161" t="n">
        <v>27295.59</v>
      </c>
      <c r="S138" s="190" t="n">
        <v>11028.36</v>
      </c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54"/>
      <c r="B139" s="55"/>
      <c r="C139" s="55"/>
      <c r="D139" s="55"/>
      <c r="E139" s="55"/>
      <c r="F139" s="80" t="s">
        <v>191</v>
      </c>
      <c r="G139" s="180" t="s">
        <v>26</v>
      </c>
      <c r="H139" s="169" t="n">
        <v>9</v>
      </c>
      <c r="I139" s="181" t="n">
        <v>4</v>
      </c>
      <c r="J139" s="181" t="n">
        <v>4</v>
      </c>
      <c r="K139" s="182" t="n">
        <v>2643</v>
      </c>
      <c r="L139" s="182" t="n">
        <f aca="false">M139+N139</f>
        <v>2643</v>
      </c>
      <c r="M139" s="182" t="n">
        <f aca="false">2643</f>
        <v>2643</v>
      </c>
      <c r="N139" s="167"/>
      <c r="O139" s="184" t="n">
        <v>2</v>
      </c>
      <c r="P139" s="182" t="n">
        <v>5374.1</v>
      </c>
      <c r="Q139" s="161" t="n">
        <f aca="false">R139+S139</f>
        <v>5374.1</v>
      </c>
      <c r="R139" s="182" t="n">
        <f aca="false">1673.9+3700.2</f>
        <v>5374.1</v>
      </c>
      <c r="S139" s="167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/>
      <c r="C140" s="55"/>
      <c r="D140" s="55"/>
      <c r="E140" s="55"/>
      <c r="F140" s="42"/>
      <c r="G140" s="164" t="s">
        <v>23</v>
      </c>
      <c r="H140" s="175"/>
      <c r="I140" s="165"/>
      <c r="J140" s="165"/>
      <c r="K140" s="166"/>
      <c r="L140" s="166" t="n">
        <f aca="false">M140+N140</f>
        <v>0</v>
      </c>
      <c r="M140" s="166"/>
      <c r="N140" s="156"/>
      <c r="O140" s="168"/>
      <c r="P140" s="166"/>
      <c r="Q140" s="166" t="n">
        <f aca="false">R140+S140</f>
        <v>0</v>
      </c>
      <c r="R140" s="166"/>
      <c r="S140" s="156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 t="s">
        <v>224</v>
      </c>
      <c r="C141" s="19"/>
      <c r="D141" s="19"/>
      <c r="E141" s="19"/>
      <c r="F141" s="20"/>
      <c r="G141" s="146" t="s">
        <v>22</v>
      </c>
      <c r="H141" s="147" t="n">
        <v>4</v>
      </c>
      <c r="I141" s="148" t="n">
        <v>2</v>
      </c>
      <c r="J141" s="148" t="n">
        <v>3</v>
      </c>
      <c r="K141" s="149" t="n">
        <v>3968.46</v>
      </c>
      <c r="L141" s="149" t="n">
        <f aca="false">M141+N141</f>
        <v>3968.46</v>
      </c>
      <c r="M141" s="149" t="n">
        <v>3968.46</v>
      </c>
      <c r="N141" s="190"/>
      <c r="O141" s="151"/>
      <c r="P141" s="149"/>
      <c r="Q141" s="149" t="n">
        <f aca="false">R141+S141</f>
        <v>0</v>
      </c>
      <c r="R141" s="149"/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273</v>
      </c>
      <c r="G142" s="152" t="s">
        <v>26</v>
      </c>
      <c r="H142" s="176" t="n">
        <v>4</v>
      </c>
      <c r="I142" s="154"/>
      <c r="J142" s="154"/>
      <c r="K142" s="155"/>
      <c r="L142" s="155" t="n">
        <f aca="false">M142+N142</f>
        <v>0</v>
      </c>
      <c r="M142" s="155"/>
      <c r="N142" s="156"/>
      <c r="O142" s="157"/>
      <c r="P142" s="155"/>
      <c r="Q142" s="155" t="n">
        <f aca="false">R142+S142</f>
        <v>0</v>
      </c>
      <c r="R142" s="155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33"/>
      <c r="B143" s="34" t="s">
        <v>102</v>
      </c>
      <c r="C143" s="35" t="s">
        <v>20</v>
      </c>
      <c r="D143" s="35"/>
      <c r="E143" s="35" t="s">
        <v>25</v>
      </c>
      <c r="F143" s="36"/>
      <c r="G143" s="158" t="s">
        <v>22</v>
      </c>
      <c r="H143" s="169" t="n">
        <v>16</v>
      </c>
      <c r="I143" s="160" t="n">
        <v>13</v>
      </c>
      <c r="J143" s="160" t="n">
        <v>13</v>
      </c>
      <c r="K143" s="161" t="n">
        <v>15435.12</v>
      </c>
      <c r="L143" s="161" t="n">
        <f aca="false">M143+N143</f>
        <v>14377.92</v>
      </c>
      <c r="M143" s="161" t="n">
        <v>14377.92</v>
      </c>
      <c r="N143" s="190"/>
      <c r="O143" s="163" t="n">
        <v>6</v>
      </c>
      <c r="P143" s="161" t="n">
        <v>20530.3</v>
      </c>
      <c r="Q143" s="161" t="n">
        <f aca="false">R143+S143</f>
        <v>20530.3</v>
      </c>
      <c r="R143" s="161" t="n">
        <v>20530.3</v>
      </c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42" t="s">
        <v>192</v>
      </c>
      <c r="G144" s="164" t="s">
        <v>26</v>
      </c>
      <c r="H144" s="153" t="n">
        <v>5</v>
      </c>
      <c r="I144" s="165" t="n">
        <v>2</v>
      </c>
      <c r="J144" s="165" t="n">
        <v>2</v>
      </c>
      <c r="K144" s="166" t="n">
        <v>7400.4</v>
      </c>
      <c r="L144" s="166" t="n">
        <f aca="false">M144+N144</f>
        <v>3700.2</v>
      </c>
      <c r="M144" s="166" t="n">
        <f aca="false">3700.2</f>
        <v>3700.2</v>
      </c>
      <c r="N144" s="156"/>
      <c r="O144" s="168" t="n">
        <v>3</v>
      </c>
      <c r="P144" s="166" t="n">
        <v>5286</v>
      </c>
      <c r="Q144" s="166" t="n">
        <f aca="false">R144+S144</f>
        <v>6519.4</v>
      </c>
      <c r="R144" s="166" t="n">
        <f aca="false">6519.4</f>
        <v>6519.4</v>
      </c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" hidden="false" customHeight="true" outlineLevel="0" collapsed="false">
      <c r="A145" s="17"/>
      <c r="B145" s="18" t="s">
        <v>103</v>
      </c>
      <c r="C145" s="19" t="s">
        <v>20</v>
      </c>
      <c r="D145" s="19"/>
      <c r="E145" s="19" t="s">
        <v>52</v>
      </c>
      <c r="F145" s="20"/>
      <c r="G145" s="146" t="s">
        <v>22</v>
      </c>
      <c r="H145" s="169" t="n">
        <v>2</v>
      </c>
      <c r="I145" s="148" t="n">
        <v>2</v>
      </c>
      <c r="J145" s="148" t="n">
        <v>3</v>
      </c>
      <c r="K145" s="149" t="n">
        <v>8028.11</v>
      </c>
      <c r="L145" s="149" t="n">
        <f aca="false">M145+N145</f>
        <v>8028.11</v>
      </c>
      <c r="M145" s="149" t="n">
        <v>1082.63</v>
      </c>
      <c r="N145" s="190" t="n">
        <v>6945.48</v>
      </c>
      <c r="O145" s="151" t="n">
        <v>9</v>
      </c>
      <c r="P145" s="149" t="n">
        <v>73918.94</v>
      </c>
      <c r="Q145" s="149" t="n">
        <f aca="false">R145+S145</f>
        <v>70386.17</v>
      </c>
      <c r="R145" s="149" t="n">
        <v>19139.98</v>
      </c>
      <c r="S145" s="190" t="n">
        <v>51246.19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193</v>
      </c>
      <c r="G146" s="152" t="s">
        <v>26</v>
      </c>
      <c r="H146" s="171" t="n">
        <v>10</v>
      </c>
      <c r="I146" s="154"/>
      <c r="J146" s="154"/>
      <c r="K146" s="155"/>
      <c r="L146" s="155" t="n">
        <f aca="false">M146+N146</f>
        <v>0</v>
      </c>
      <c r="M146" s="155"/>
      <c r="N146" s="156"/>
      <c r="O146" s="157" t="n">
        <v>4</v>
      </c>
      <c r="P146" s="155" t="n">
        <v>10925</v>
      </c>
      <c r="Q146" s="155" t="n">
        <f aca="false">R146+S146</f>
        <v>9867.04</v>
      </c>
      <c r="R146" s="155" t="n">
        <f aca="false">2290.6</f>
        <v>2290.6</v>
      </c>
      <c r="S146" s="156" t="n">
        <v>7576.44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54"/>
      <c r="B147" s="55" t="s">
        <v>104</v>
      </c>
      <c r="C147" s="56" t="s">
        <v>20</v>
      </c>
      <c r="D147" s="56"/>
      <c r="E147" s="56" t="s">
        <v>25</v>
      </c>
      <c r="F147" s="22"/>
      <c r="G147" s="146" t="s">
        <v>22</v>
      </c>
      <c r="H147" s="169"/>
      <c r="I147" s="160"/>
      <c r="J147" s="160"/>
      <c r="K147" s="161"/>
      <c r="L147" s="161" t="n">
        <f aca="false">M147+N147</f>
        <v>0</v>
      </c>
      <c r="M147" s="161"/>
      <c r="N147" s="190"/>
      <c r="O147" s="163" t="n">
        <v>2</v>
      </c>
      <c r="P147" s="161" t="n">
        <v>20088.08</v>
      </c>
      <c r="Q147" s="161" t="n">
        <f aca="false">R147+S147</f>
        <v>20088.08</v>
      </c>
      <c r="R147" s="161"/>
      <c r="S147" s="190" t="n">
        <v>20088.08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54"/>
      <c r="B148" s="55"/>
      <c r="C148" s="55"/>
      <c r="D148" s="55"/>
      <c r="E148" s="55"/>
      <c r="F148" s="26" t="s">
        <v>281</v>
      </c>
      <c r="G148" s="152" t="s">
        <v>26</v>
      </c>
      <c r="H148" s="153" t="n">
        <v>2</v>
      </c>
      <c r="I148" s="154"/>
      <c r="J148" s="154"/>
      <c r="K148" s="155"/>
      <c r="L148" s="155" t="n">
        <f aca="false">M148+N148</f>
        <v>0</v>
      </c>
      <c r="M148" s="155"/>
      <c r="N148" s="156"/>
      <c r="O148" s="157"/>
      <c r="P148" s="155"/>
      <c r="Q148" s="155" t="n">
        <f aca="false">R148+S148</f>
        <v>0</v>
      </c>
      <c r="R148" s="155"/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33"/>
      <c r="B149" s="34" t="s">
        <v>105</v>
      </c>
      <c r="C149" s="35" t="s">
        <v>33</v>
      </c>
      <c r="D149" s="35" t="s">
        <v>106</v>
      </c>
      <c r="E149" s="35" t="s">
        <v>107</v>
      </c>
      <c r="F149" s="36"/>
      <c r="G149" s="146" t="s">
        <v>22</v>
      </c>
      <c r="H149" s="169" t="n">
        <v>6</v>
      </c>
      <c r="I149" s="160" t="n">
        <v>1</v>
      </c>
      <c r="J149" s="160" t="n">
        <v>1</v>
      </c>
      <c r="K149" s="161" t="n">
        <v>352.4</v>
      </c>
      <c r="L149" s="161" t="n">
        <f aca="false">M149+N149</f>
        <v>0</v>
      </c>
      <c r="M149" s="161"/>
      <c r="N149" s="190"/>
      <c r="O149" s="163" t="n">
        <v>10</v>
      </c>
      <c r="P149" s="161" t="n">
        <v>45624.44</v>
      </c>
      <c r="Q149" s="161" t="n">
        <f aca="false">R149+S149</f>
        <v>18435.62</v>
      </c>
      <c r="R149" s="161" t="n">
        <v>14967.24</v>
      </c>
      <c r="S149" s="190" t="n">
        <v>3468.38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33"/>
      <c r="B150" s="34"/>
      <c r="C150" s="34"/>
      <c r="D150" s="34"/>
      <c r="E150" s="34"/>
      <c r="F150" s="42" t="s">
        <v>194</v>
      </c>
      <c r="G150" s="164" t="s">
        <v>26</v>
      </c>
      <c r="H150" s="153" t="n">
        <v>2</v>
      </c>
      <c r="I150" s="165"/>
      <c r="J150" s="165"/>
      <c r="K150" s="166"/>
      <c r="L150" s="161" t="n">
        <f aca="false">M150+N150</f>
        <v>0</v>
      </c>
      <c r="M150" s="166" t="n">
        <v>0</v>
      </c>
      <c r="N150" s="156"/>
      <c r="O150" s="168" t="n">
        <v>6</v>
      </c>
      <c r="P150" s="166" t="n">
        <v>23645.16</v>
      </c>
      <c r="Q150" s="166" t="n">
        <f aca="false">R150+S150</f>
        <v>5682.4</v>
      </c>
      <c r="R150" s="166" t="n">
        <f aca="false">4801.4+881</f>
        <v>5682.4</v>
      </c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72"/>
      <c r="B151" s="73" t="s">
        <v>108</v>
      </c>
      <c r="C151" s="74" t="s">
        <v>33</v>
      </c>
      <c r="D151" s="74" t="s">
        <v>109</v>
      </c>
      <c r="E151" s="74" t="s">
        <v>25</v>
      </c>
      <c r="F151" s="20"/>
      <c r="G151" s="146" t="s">
        <v>22</v>
      </c>
      <c r="H151" s="159" t="n">
        <v>8</v>
      </c>
      <c r="I151" s="148" t="n">
        <v>7</v>
      </c>
      <c r="J151" s="148" t="n">
        <v>8</v>
      </c>
      <c r="K151" s="149" t="n">
        <v>13912.78</v>
      </c>
      <c r="L151" s="149" t="n">
        <f aca="false">M151+N151</f>
        <v>11519.11</v>
      </c>
      <c r="M151" s="149" t="n">
        <v>11519.11</v>
      </c>
      <c r="N151" s="190"/>
      <c r="O151" s="151" t="n">
        <v>19</v>
      </c>
      <c r="P151" s="149" t="n">
        <v>45355.16</v>
      </c>
      <c r="Q151" s="149" t="n">
        <f aca="false">R151+S151</f>
        <v>37928.86</v>
      </c>
      <c r="R151" s="149" t="n">
        <v>37928.86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 t="s">
        <v>195</v>
      </c>
      <c r="G152" s="164" t="s">
        <v>26</v>
      </c>
      <c r="H152" s="171" t="n">
        <v>9</v>
      </c>
      <c r="I152" s="165" t="n">
        <v>6</v>
      </c>
      <c r="J152" s="165" t="n">
        <v>6</v>
      </c>
      <c r="K152" s="166" t="n">
        <v>21743.08</v>
      </c>
      <c r="L152" s="166" t="n">
        <f aca="false">M152+N152</f>
        <v>10818.68</v>
      </c>
      <c r="M152" s="166" t="n">
        <f aca="false">6942.28</f>
        <v>6942.28</v>
      </c>
      <c r="N152" s="156" t="n">
        <f aca="false">3876.4</f>
        <v>3876.4</v>
      </c>
      <c r="O152" s="157" t="n">
        <v>11</v>
      </c>
      <c r="P152" s="155" t="n">
        <v>30218.3</v>
      </c>
      <c r="Q152" s="155" t="n">
        <f aca="false">R152+S152</f>
        <v>45706.28</v>
      </c>
      <c r="R152" s="155" t="n">
        <f aca="false">15329.4+14888.9</f>
        <v>30218.3</v>
      </c>
      <c r="S152" s="156" t="n">
        <v>15487.98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17"/>
      <c r="B153" s="18" t="s">
        <v>110</v>
      </c>
      <c r="C153" s="19" t="s">
        <v>33</v>
      </c>
      <c r="D153" s="19" t="s">
        <v>111</v>
      </c>
      <c r="E153" s="19" t="s">
        <v>25</v>
      </c>
      <c r="F153" s="20"/>
      <c r="G153" s="146" t="s">
        <v>22</v>
      </c>
      <c r="H153" s="159" t="n">
        <v>22</v>
      </c>
      <c r="I153" s="148" t="n">
        <v>19</v>
      </c>
      <c r="J153" s="193" t="n">
        <v>21</v>
      </c>
      <c r="K153" s="149" t="n">
        <v>21281.44</v>
      </c>
      <c r="L153" s="149" t="n">
        <f aca="false">M153+N153</f>
        <v>16881.73</v>
      </c>
      <c r="M153" s="149" t="n">
        <v>16881.73</v>
      </c>
      <c r="N153" s="190"/>
      <c r="O153" s="163" t="n">
        <v>15</v>
      </c>
      <c r="P153" s="161" t="n">
        <v>58355.79</v>
      </c>
      <c r="Q153" s="161" t="n">
        <f aca="false">R153+S153</f>
        <v>44245.85</v>
      </c>
      <c r="R153" s="161" t="n">
        <v>44245.85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42" t="s">
        <v>196</v>
      </c>
      <c r="G154" s="164" t="s">
        <v>26</v>
      </c>
      <c r="H154" s="175" t="n">
        <v>4</v>
      </c>
      <c r="I154" s="165" t="n">
        <v>2</v>
      </c>
      <c r="J154" s="165" t="n">
        <v>1</v>
      </c>
      <c r="K154" s="166" t="n">
        <v>4405</v>
      </c>
      <c r="L154" s="166" t="n">
        <f aca="false">M154+N154</f>
        <v>0</v>
      </c>
      <c r="M154" s="166"/>
      <c r="N154" s="167"/>
      <c r="O154" s="168" t="n">
        <v>1</v>
      </c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40" t="s">
        <v>282</v>
      </c>
      <c r="C155" s="19" t="s">
        <v>33</v>
      </c>
      <c r="D155" s="19" t="s">
        <v>283</v>
      </c>
      <c r="E155" s="19" t="s">
        <v>284</v>
      </c>
      <c r="F155" s="20"/>
      <c r="G155" s="146" t="s">
        <v>22</v>
      </c>
      <c r="H155" s="173"/>
      <c r="I155" s="148"/>
      <c r="J155" s="148"/>
      <c r="K155" s="241"/>
      <c r="L155" s="241" t="n">
        <f aca="false">M155+N155</f>
        <v>0</v>
      </c>
      <c r="M155" s="241"/>
      <c r="N155" s="150"/>
      <c r="O155" s="206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40"/>
      <c r="C156" s="19"/>
      <c r="D156" s="19"/>
      <c r="E156" s="19"/>
      <c r="F156" s="26" t="s">
        <v>285</v>
      </c>
      <c r="G156" s="152" t="s">
        <v>23</v>
      </c>
      <c r="H156" s="174" t="n">
        <v>3</v>
      </c>
      <c r="I156" s="154"/>
      <c r="J156" s="154"/>
      <c r="K156" s="242"/>
      <c r="L156" s="242" t="n">
        <f aca="false">M156+N156</f>
        <v>0</v>
      </c>
      <c r="M156" s="242"/>
      <c r="N156" s="156"/>
      <c r="O156" s="209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112</v>
      </c>
      <c r="C157" s="35" t="s">
        <v>20</v>
      </c>
      <c r="D157" s="35" t="s">
        <v>197</v>
      </c>
      <c r="E157" s="35" t="s">
        <v>25</v>
      </c>
      <c r="F157" s="36"/>
      <c r="G157" s="158" t="s">
        <v>22</v>
      </c>
      <c r="H157" s="159" t="n">
        <v>14</v>
      </c>
      <c r="I157" s="160" t="n">
        <v>14</v>
      </c>
      <c r="J157" s="160" t="n">
        <v>18</v>
      </c>
      <c r="K157" s="140" t="n">
        <v>47341.4</v>
      </c>
      <c r="L157" s="140" t="n">
        <f aca="false">M157+N157</f>
        <v>23292.74</v>
      </c>
      <c r="M157" s="140" t="n">
        <v>23292.74</v>
      </c>
      <c r="N157" s="190"/>
      <c r="O157" s="163" t="n">
        <v>4</v>
      </c>
      <c r="P157" s="161" t="n">
        <v>20244.62</v>
      </c>
      <c r="Q157" s="161" t="n">
        <f aca="false">R157+S157</f>
        <v>20244.62</v>
      </c>
      <c r="R157" s="161" t="n">
        <v>20244.62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26" t="s">
        <v>198</v>
      </c>
      <c r="G158" s="152" t="s">
        <v>26</v>
      </c>
      <c r="H158" s="171" t="n">
        <v>3</v>
      </c>
      <c r="I158" s="165"/>
      <c r="J158" s="165" t="n">
        <v>1</v>
      </c>
      <c r="K158" s="166" t="n">
        <v>1762</v>
      </c>
      <c r="L158" s="166" t="n">
        <f aca="false">M158+N158</f>
        <v>0</v>
      </c>
      <c r="M158" s="166"/>
      <c r="N158" s="156"/>
      <c r="O158" s="168" t="n">
        <v>1</v>
      </c>
      <c r="P158" s="166" t="n">
        <v>2114.4</v>
      </c>
      <c r="Q158" s="166" t="n">
        <f aca="false">R158+S158</f>
        <v>2114.4</v>
      </c>
      <c r="R158" s="166" t="n">
        <f aca="false">2114.4</f>
        <v>2114.4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17"/>
      <c r="B159" s="18" t="s">
        <v>113</v>
      </c>
      <c r="C159" s="19" t="s">
        <v>20</v>
      </c>
      <c r="D159" s="19"/>
      <c r="E159" s="19" t="s">
        <v>31</v>
      </c>
      <c r="F159" s="36"/>
      <c r="G159" s="146" t="s">
        <v>22</v>
      </c>
      <c r="H159" s="159" t="n">
        <v>12</v>
      </c>
      <c r="I159" s="148" t="n">
        <v>9</v>
      </c>
      <c r="J159" s="148" t="n">
        <v>10</v>
      </c>
      <c r="K159" s="149" t="n">
        <v>16539.39</v>
      </c>
      <c r="L159" s="149" t="n">
        <f aca="false">M159+N159</f>
        <v>14995.78</v>
      </c>
      <c r="M159" s="149" t="n">
        <v>12303.8</v>
      </c>
      <c r="N159" s="190" t="n">
        <v>2691.98</v>
      </c>
      <c r="O159" s="151" t="n">
        <v>8</v>
      </c>
      <c r="P159" s="149" t="n">
        <v>18834.43</v>
      </c>
      <c r="Q159" s="149" t="n">
        <f aca="false">R159+S159</f>
        <v>18834.43</v>
      </c>
      <c r="R159" s="149" t="n">
        <v>9035.03</v>
      </c>
      <c r="S159" s="190" t="n">
        <v>9799.4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57"/>
      <c r="G160" s="152" t="s">
        <v>26</v>
      </c>
      <c r="H160" s="153"/>
      <c r="I160" s="154"/>
      <c r="J160" s="154"/>
      <c r="K160" s="155"/>
      <c r="L160" s="155" t="n">
        <f aca="false">M160+N160</f>
        <v>0</v>
      </c>
      <c r="M160" s="155"/>
      <c r="N160" s="156"/>
      <c r="O160" s="157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33"/>
      <c r="B161" s="34" t="s">
        <v>114</v>
      </c>
      <c r="C161" s="35" t="s">
        <v>20</v>
      </c>
      <c r="D161" s="95"/>
      <c r="E161" s="35" t="s">
        <v>25</v>
      </c>
      <c r="F161" s="71"/>
      <c r="G161" s="146" t="s">
        <v>22</v>
      </c>
      <c r="H161" s="169" t="n">
        <v>2</v>
      </c>
      <c r="I161" s="160"/>
      <c r="J161" s="160"/>
      <c r="K161" s="161"/>
      <c r="L161" s="161" t="n">
        <f aca="false">M161+N161</f>
        <v>0</v>
      </c>
      <c r="M161" s="161"/>
      <c r="N161" s="190"/>
      <c r="O161" s="163" t="n">
        <v>3</v>
      </c>
      <c r="P161" s="161" t="n">
        <v>4574.09</v>
      </c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 t="s">
        <v>274</v>
      </c>
      <c r="G162" s="164" t="s">
        <v>26</v>
      </c>
      <c r="H162" s="175" t="n">
        <v>4</v>
      </c>
      <c r="I162" s="165" t="n">
        <v>3</v>
      </c>
      <c r="J162" s="165" t="n">
        <v>3</v>
      </c>
      <c r="K162" s="166" t="n">
        <v>4075.22</v>
      </c>
      <c r="L162" s="166" t="n">
        <f aca="false">M162+N162</f>
        <v>0</v>
      </c>
      <c r="M162" s="166"/>
      <c r="N162" s="156"/>
      <c r="O162" s="168"/>
      <c r="P162" s="166"/>
      <c r="Q162" s="166" t="n">
        <f aca="false">R162+S162</f>
        <v>0</v>
      </c>
      <c r="R162" s="166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18" t="s">
        <v>243</v>
      </c>
      <c r="C163" s="219"/>
      <c r="D163" s="19"/>
      <c r="E163" s="19"/>
      <c r="F163" s="20"/>
      <c r="G163" s="146" t="s">
        <v>22</v>
      </c>
      <c r="H163" s="173" t="n">
        <v>2</v>
      </c>
      <c r="I163" s="148" t="n">
        <v>1</v>
      </c>
      <c r="J163" s="148" t="n">
        <v>1</v>
      </c>
      <c r="K163" s="149" t="n">
        <v>2114.4</v>
      </c>
      <c r="L163" s="149" t="n">
        <f aca="false">M163+N163</f>
        <v>0</v>
      </c>
      <c r="M163" s="149"/>
      <c r="N163" s="190"/>
      <c r="O163" s="206"/>
      <c r="P163" s="149"/>
      <c r="Q163" s="149" t="n">
        <f aca="false">R163+S163</f>
        <v>0</v>
      </c>
      <c r="R163" s="149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 t="s">
        <v>275</v>
      </c>
      <c r="G164" s="152" t="s">
        <v>26</v>
      </c>
      <c r="H164" s="174" t="n">
        <v>4</v>
      </c>
      <c r="I164" s="154" t="n">
        <v>1</v>
      </c>
      <c r="J164" s="154" t="n">
        <v>1</v>
      </c>
      <c r="K164" s="155" t="n">
        <v>528.6</v>
      </c>
      <c r="L164" s="155" t="n">
        <f aca="false">M164+N164</f>
        <v>3476.14</v>
      </c>
      <c r="M164" s="155" t="n">
        <f aca="false">3476.14</f>
        <v>3476.14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54"/>
      <c r="B165" s="55" t="s">
        <v>200</v>
      </c>
      <c r="C165" s="220"/>
      <c r="D165" s="56"/>
      <c r="E165" s="56"/>
      <c r="F165" s="36"/>
      <c r="G165" s="158" t="s">
        <v>22</v>
      </c>
      <c r="H165" s="159" t="n">
        <v>21</v>
      </c>
      <c r="I165" s="160" t="n">
        <v>19</v>
      </c>
      <c r="J165" s="160" t="n">
        <v>20</v>
      </c>
      <c r="K165" s="161" t="n">
        <v>22458.11</v>
      </c>
      <c r="L165" s="161" t="n">
        <f aca="false">M165+N165</f>
        <v>14018.13</v>
      </c>
      <c r="M165" s="161" t="n">
        <v>14018.13</v>
      </c>
      <c r="N165" s="190"/>
      <c r="O165" s="163"/>
      <c r="P165" s="161"/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54"/>
      <c r="B166" s="55"/>
      <c r="C166" s="55"/>
      <c r="D166" s="55"/>
      <c r="E166" s="55"/>
      <c r="F166" s="57"/>
      <c r="G166" s="152" t="s">
        <v>26</v>
      </c>
      <c r="H166" s="174" t="n">
        <v>4</v>
      </c>
      <c r="I166" s="154" t="n">
        <v>3</v>
      </c>
      <c r="J166" s="154" t="n">
        <v>3</v>
      </c>
      <c r="K166" s="155" t="n">
        <v>4757.4</v>
      </c>
      <c r="L166" s="155" t="n">
        <f aca="false">M166+N166</f>
        <v>6096.52</v>
      </c>
      <c r="M166" s="155" t="n">
        <f aca="false">4757.4</f>
        <v>4757.4</v>
      </c>
      <c r="N166" s="156" t="n">
        <f aca="false">1339.12</f>
        <v>1339.12</v>
      </c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 t="s">
        <v>115</v>
      </c>
      <c r="C167" s="56" t="s">
        <v>20</v>
      </c>
      <c r="D167" s="56"/>
      <c r="E167" s="56" t="s">
        <v>116</v>
      </c>
      <c r="F167" s="36"/>
      <c r="G167" s="158" t="s">
        <v>22</v>
      </c>
      <c r="H167" s="159" t="n">
        <v>14</v>
      </c>
      <c r="I167" s="160" t="n">
        <v>11</v>
      </c>
      <c r="J167" s="160" t="n">
        <v>12</v>
      </c>
      <c r="K167" s="161" t="n">
        <v>9503.97</v>
      </c>
      <c r="L167" s="161" t="n">
        <f aca="false">M167+N167</f>
        <v>6070.98</v>
      </c>
      <c r="M167" s="161" t="n">
        <v>6070.98</v>
      </c>
      <c r="N167" s="190"/>
      <c r="O167" s="163" t="n">
        <v>17</v>
      </c>
      <c r="P167" s="161" t="n">
        <v>40160.31</v>
      </c>
      <c r="Q167" s="161" t="n">
        <f aca="false">R167+S167</f>
        <v>22208.41</v>
      </c>
      <c r="R167" s="161" t="n">
        <v>22208.41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54"/>
      <c r="B168" s="55"/>
      <c r="C168" s="55"/>
      <c r="D168" s="55"/>
      <c r="E168" s="55"/>
      <c r="F168" s="42" t="s">
        <v>201</v>
      </c>
      <c r="G168" s="164" t="s">
        <v>26</v>
      </c>
      <c r="H168" s="172" t="n">
        <v>9</v>
      </c>
      <c r="I168" s="165" t="n">
        <v>2</v>
      </c>
      <c r="J168" s="165" t="n">
        <v>2</v>
      </c>
      <c r="K168" s="166" t="n">
        <v>5990.8</v>
      </c>
      <c r="L168" s="161" t="n">
        <f aca="false">M168+N168</f>
        <v>1585.8</v>
      </c>
      <c r="M168" s="166" t="n">
        <v>1585.8</v>
      </c>
      <c r="N168" s="156"/>
      <c r="O168" s="168" t="n">
        <v>8</v>
      </c>
      <c r="P168" s="166" t="n">
        <v>881</v>
      </c>
      <c r="Q168" s="166" t="n">
        <f aca="false">R168+S168</f>
        <v>5286</v>
      </c>
      <c r="R168" s="166" t="n">
        <f aca="false">881+2114.4+2290.6</f>
        <v>5286</v>
      </c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17"/>
      <c r="B169" s="18" t="s">
        <v>157</v>
      </c>
      <c r="C169" s="19"/>
      <c r="D169" s="19"/>
      <c r="E169" s="127"/>
      <c r="F169" s="22"/>
      <c r="G169" s="146" t="s">
        <v>22</v>
      </c>
      <c r="H169" s="147" t="n">
        <v>10</v>
      </c>
      <c r="I169" s="148" t="n">
        <v>5</v>
      </c>
      <c r="J169" s="148" t="n">
        <v>6</v>
      </c>
      <c r="K169" s="149" t="n">
        <v>11119.33</v>
      </c>
      <c r="L169" s="149" t="n">
        <f aca="false">M169+N169</f>
        <v>3876.4</v>
      </c>
      <c r="M169" s="149" t="n">
        <v>3876.4</v>
      </c>
      <c r="N169" s="190"/>
      <c r="O169" s="151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false" outlineLevel="0" collapsed="false">
      <c r="A170" s="17"/>
      <c r="B170" s="18"/>
      <c r="C170" s="18"/>
      <c r="D170" s="18"/>
      <c r="E170" s="127"/>
      <c r="F170" s="26" t="s">
        <v>202</v>
      </c>
      <c r="G170" s="152" t="s">
        <v>26</v>
      </c>
      <c r="H170" s="176" t="n">
        <v>2</v>
      </c>
      <c r="I170" s="154"/>
      <c r="J170" s="154"/>
      <c r="K170" s="155"/>
      <c r="L170" s="155" t="n">
        <f aca="false">M170+N170</f>
        <v>0</v>
      </c>
      <c r="M170" s="155"/>
      <c r="N170" s="156"/>
      <c r="O170" s="157" t="n">
        <v>2</v>
      </c>
      <c r="P170" s="155"/>
      <c r="Q170" s="155" t="n">
        <f aca="false">R170+S170</f>
        <v>1762</v>
      </c>
      <c r="R170" s="155"/>
      <c r="S170" s="156" t="n">
        <v>1762</v>
      </c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true" outlineLevel="0" collapsed="false">
      <c r="A171" s="33"/>
      <c r="B171" s="34" t="s">
        <v>117</v>
      </c>
      <c r="C171" s="35" t="s">
        <v>33</v>
      </c>
      <c r="D171" s="35" t="s">
        <v>118</v>
      </c>
      <c r="E171" s="74" t="s">
        <v>25</v>
      </c>
      <c r="F171" s="89"/>
      <c r="G171" s="158" t="s">
        <v>22</v>
      </c>
      <c r="H171" s="169"/>
      <c r="I171" s="160"/>
      <c r="J171" s="160"/>
      <c r="K171" s="161"/>
      <c r="L171" s="161" t="n">
        <f aca="false">M171+N171</f>
        <v>0</v>
      </c>
      <c r="M171" s="161"/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false" outlineLevel="0" collapsed="false">
      <c r="A172" s="33"/>
      <c r="B172" s="34"/>
      <c r="C172" s="34"/>
      <c r="D172" s="34"/>
      <c r="E172" s="34"/>
      <c r="F172" s="42"/>
      <c r="G172" s="158" t="s">
        <v>23</v>
      </c>
      <c r="H172" s="169"/>
      <c r="I172" s="160"/>
      <c r="J172" s="160"/>
      <c r="K172" s="161"/>
      <c r="L172" s="161" t="n">
        <f aca="false">M172+N172</f>
        <v>0</v>
      </c>
      <c r="M172" s="161"/>
      <c r="N172" s="167"/>
      <c r="O172" s="163" t="n">
        <v>2</v>
      </c>
      <c r="P172" s="161" t="n">
        <v>1762</v>
      </c>
      <c r="Q172" s="161" t="n">
        <v>1762</v>
      </c>
      <c r="R172" s="161" t="n">
        <v>1762</v>
      </c>
      <c r="S172" s="167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33"/>
      <c r="B173" s="34"/>
      <c r="C173" s="34"/>
      <c r="D173" s="34"/>
      <c r="E173" s="34"/>
      <c r="F173" s="42"/>
      <c r="G173" s="164" t="s">
        <v>26</v>
      </c>
      <c r="H173" s="153"/>
      <c r="I173" s="165"/>
      <c r="J173" s="165"/>
      <c r="K173" s="166"/>
      <c r="L173" s="166" t="n">
        <f aca="false">M173+N173</f>
        <v>0</v>
      </c>
      <c r="M173" s="166"/>
      <c r="N173" s="156"/>
      <c r="O173" s="168" t="n">
        <v>6</v>
      </c>
      <c r="P173" s="166" t="n">
        <v>4845.5</v>
      </c>
      <c r="Q173" s="166" t="n">
        <f aca="false">R173+S173</f>
        <v>1762</v>
      </c>
      <c r="R173" s="166" t="n">
        <v>1762</v>
      </c>
      <c r="S173" s="156" t="n">
        <v>0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119</v>
      </c>
      <c r="C174" s="19" t="s">
        <v>20</v>
      </c>
      <c r="D174" s="19"/>
      <c r="E174" s="19" t="s">
        <v>25</v>
      </c>
      <c r="F174" s="20"/>
      <c r="G174" s="146" t="s">
        <v>22</v>
      </c>
      <c r="H174" s="169"/>
      <c r="I174" s="148"/>
      <c r="J174" s="148"/>
      <c r="K174" s="149"/>
      <c r="L174" s="149" t="n">
        <f aca="false">M174+N174</f>
        <v>0</v>
      </c>
      <c r="M174" s="149"/>
      <c r="N174" s="190"/>
      <c r="O174" s="151" t="n">
        <v>2</v>
      </c>
      <c r="P174" s="149" t="n">
        <v>2643</v>
      </c>
      <c r="Q174" s="149" t="n">
        <f aca="false">R174+S174</f>
        <v>2643</v>
      </c>
      <c r="R174" s="149" t="n">
        <v>2643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42" t="s">
        <v>203</v>
      </c>
      <c r="G175" s="164" t="s">
        <v>26</v>
      </c>
      <c r="H175" s="175" t="n">
        <v>4</v>
      </c>
      <c r="I175" s="165" t="n">
        <v>2</v>
      </c>
      <c r="J175" s="165" t="n">
        <v>2</v>
      </c>
      <c r="K175" s="166" t="n">
        <v>1233.4</v>
      </c>
      <c r="L175" s="166" t="n">
        <f aca="false">M175+N175</f>
        <v>1812.59</v>
      </c>
      <c r="M175" s="166" t="n">
        <f aca="false">704.8</f>
        <v>704.8</v>
      </c>
      <c r="N175" s="156" t="n">
        <f aca="false">1107.79</f>
        <v>1107.79</v>
      </c>
      <c r="O175" s="168" t="n">
        <v>3</v>
      </c>
      <c r="P175" s="166" t="n">
        <v>7576.6</v>
      </c>
      <c r="Q175" s="166" t="n">
        <f aca="false">R175+S175</f>
        <v>7349.81</v>
      </c>
      <c r="R175" s="166" t="n">
        <v>7349.81</v>
      </c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17"/>
      <c r="B176" s="18" t="s">
        <v>225</v>
      </c>
      <c r="C176" s="19"/>
      <c r="D176" s="19"/>
      <c r="E176" s="19"/>
      <c r="F176" s="20"/>
      <c r="G176" s="146" t="s">
        <v>22</v>
      </c>
      <c r="H176" s="147"/>
      <c r="I176" s="148"/>
      <c r="J176" s="148"/>
      <c r="K176" s="149"/>
      <c r="L176" s="149" t="n">
        <f aca="false">M176+N176</f>
        <v>0</v>
      </c>
      <c r="M176" s="149"/>
      <c r="N176" s="190"/>
      <c r="O176" s="151"/>
      <c r="P176" s="149"/>
      <c r="Q176" s="149" t="n">
        <f aca="false">R176+S176</f>
        <v>0</v>
      </c>
      <c r="R176" s="149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17"/>
      <c r="B177" s="18"/>
      <c r="C177" s="18"/>
      <c r="D177" s="18"/>
      <c r="E177" s="18"/>
      <c r="F177" s="26" t="s">
        <v>244</v>
      </c>
      <c r="G177" s="152" t="s">
        <v>23</v>
      </c>
      <c r="H177" s="176" t="n">
        <v>16</v>
      </c>
      <c r="I177" s="154" t="n">
        <v>4</v>
      </c>
      <c r="J177" s="154" t="n">
        <v>4</v>
      </c>
      <c r="K177" s="155" t="n">
        <v>3567.8</v>
      </c>
      <c r="L177" s="155" t="n">
        <v>2863</v>
      </c>
      <c r="M177" s="155" t="n">
        <v>2863</v>
      </c>
      <c r="N177" s="156"/>
      <c r="O177" s="157"/>
      <c r="P177" s="155"/>
      <c r="Q177" s="155" t="n">
        <f aca="false">R177+S177</f>
        <v>0</v>
      </c>
      <c r="R177" s="155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54"/>
      <c r="B178" s="55" t="s">
        <v>120</v>
      </c>
      <c r="C178" s="56" t="s">
        <v>20</v>
      </c>
      <c r="D178" s="56"/>
      <c r="E178" s="56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3</v>
      </c>
      <c r="P178" s="161" t="n">
        <v>3063.78</v>
      </c>
      <c r="Q178" s="161" t="n">
        <f aca="false">R178+S178</f>
        <v>3063.78</v>
      </c>
      <c r="R178" s="161" t="n">
        <v>3063.78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54"/>
      <c r="B179" s="55"/>
      <c r="C179" s="55"/>
      <c r="D179" s="55"/>
      <c r="E179" s="55"/>
      <c r="F179" s="71"/>
      <c r="G179" s="164" t="s">
        <v>26</v>
      </c>
      <c r="H179" s="175"/>
      <c r="I179" s="165"/>
      <c r="J179" s="165"/>
      <c r="K179" s="166"/>
      <c r="L179" s="166" t="n">
        <f aca="false">M179+N179</f>
        <v>0</v>
      </c>
      <c r="M179" s="166"/>
      <c r="N179" s="156"/>
      <c r="O179" s="168"/>
      <c r="P179" s="166"/>
      <c r="Q179" s="166" t="n">
        <f aca="false">R179+S179</f>
        <v>0</v>
      </c>
      <c r="R179" s="166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72"/>
      <c r="B180" s="18" t="s">
        <v>158</v>
      </c>
      <c r="C180" s="74"/>
      <c r="D180" s="56" t="s">
        <v>204</v>
      </c>
      <c r="E180" s="74"/>
      <c r="F180" s="53"/>
      <c r="G180" s="146" t="s">
        <v>22</v>
      </c>
      <c r="H180" s="195"/>
      <c r="I180" s="196"/>
      <c r="J180" s="196"/>
      <c r="K180" s="197"/>
      <c r="L180" s="197" t="n">
        <f aca="false">M180+N180</f>
        <v>0</v>
      </c>
      <c r="M180" s="197"/>
      <c r="N180" s="190"/>
      <c r="O180" s="199"/>
      <c r="P180" s="197"/>
      <c r="Q180" s="197" t="n">
        <f aca="false">R180+S180</f>
        <v>0</v>
      </c>
      <c r="R180" s="197"/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54"/>
      <c r="B181" s="18"/>
      <c r="C181" s="56"/>
      <c r="D181" s="56"/>
      <c r="E181" s="56"/>
      <c r="F181" s="138" t="s">
        <v>205</v>
      </c>
      <c r="G181" s="152" t="s">
        <v>26</v>
      </c>
      <c r="H181" s="153" t="n">
        <v>4</v>
      </c>
      <c r="I181" s="200" t="n">
        <v>2</v>
      </c>
      <c r="J181" s="200" t="n">
        <v>2</v>
      </c>
      <c r="K181" s="201" t="n">
        <v>3524</v>
      </c>
      <c r="L181" s="201" t="n">
        <f aca="false">M181+N181</f>
        <v>0</v>
      </c>
      <c r="M181" s="201"/>
      <c r="N181" s="156"/>
      <c r="O181" s="203"/>
      <c r="P181" s="201"/>
      <c r="Q181" s="201" t="n">
        <f aca="false">R181+S181</f>
        <v>0</v>
      </c>
      <c r="R181" s="201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33"/>
      <c r="B182" s="34" t="s">
        <v>152</v>
      </c>
      <c r="C182" s="35" t="s">
        <v>20</v>
      </c>
      <c r="D182" s="35"/>
      <c r="E182" s="35" t="s">
        <v>25</v>
      </c>
      <c r="F182" s="36"/>
      <c r="G182" s="158" t="s">
        <v>22</v>
      </c>
      <c r="H182" s="169"/>
      <c r="I182" s="160"/>
      <c r="J182" s="160"/>
      <c r="K182" s="161"/>
      <c r="L182" s="161" t="n">
        <f aca="false">M182+N182</f>
        <v>0</v>
      </c>
      <c r="M182" s="161"/>
      <c r="N182" s="190"/>
      <c r="O182" s="163" t="n">
        <v>4</v>
      </c>
      <c r="P182" s="161" t="n">
        <v>7400.4</v>
      </c>
      <c r="Q182" s="161" t="n">
        <f aca="false">R182+S182</f>
        <v>7400.4</v>
      </c>
      <c r="R182" s="161" t="n">
        <v>7400.4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206</v>
      </c>
      <c r="G183" s="164" t="s">
        <v>26</v>
      </c>
      <c r="H183" s="171" t="n">
        <v>4</v>
      </c>
      <c r="I183" s="165"/>
      <c r="J183" s="165" t="n">
        <v>1</v>
      </c>
      <c r="K183" s="166" t="n">
        <v>704.8</v>
      </c>
      <c r="L183" s="166" t="n">
        <v>0</v>
      </c>
      <c r="M183" s="166" t="n">
        <v>0</v>
      </c>
      <c r="N183" s="156"/>
      <c r="O183" s="168" t="n">
        <v>6</v>
      </c>
      <c r="P183" s="166" t="n">
        <v>7048</v>
      </c>
      <c r="Q183" s="161" t="n">
        <f aca="false">R183+S183</f>
        <v>6959.9</v>
      </c>
      <c r="R183" s="166" t="n">
        <f aca="false">2731.1+4228.8</f>
        <v>6959.9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122</v>
      </c>
      <c r="C184" s="19" t="s">
        <v>20</v>
      </c>
      <c r="D184" s="19"/>
      <c r="E184" s="19" t="s">
        <v>116</v>
      </c>
      <c r="F184" s="20"/>
      <c r="G184" s="146" t="s">
        <v>22</v>
      </c>
      <c r="H184" s="159" t="n">
        <v>27</v>
      </c>
      <c r="I184" s="148" t="n">
        <v>26</v>
      </c>
      <c r="J184" s="148" t="n">
        <v>33</v>
      </c>
      <c r="K184" s="149" t="n">
        <v>53050.74</v>
      </c>
      <c r="L184" s="149" t="n">
        <f aca="false">M184+N184</f>
        <v>51516.04</v>
      </c>
      <c r="M184" s="149" t="n">
        <v>32759.12</v>
      </c>
      <c r="N184" s="190" t="n">
        <v>18756.92</v>
      </c>
      <c r="O184" s="151" t="n">
        <v>28</v>
      </c>
      <c r="P184" s="149" t="n">
        <v>96577.15</v>
      </c>
      <c r="Q184" s="149" t="n">
        <f aca="false">R184+S184</f>
        <v>96577.15</v>
      </c>
      <c r="R184" s="149" t="n">
        <v>61568.09</v>
      </c>
      <c r="S184" s="190" t="n">
        <v>35009.06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57"/>
      <c r="G185" s="152" t="s">
        <v>26</v>
      </c>
      <c r="H185" s="153"/>
      <c r="I185" s="154"/>
      <c r="J185" s="154"/>
      <c r="K185" s="155"/>
      <c r="L185" s="155" t="n">
        <f aca="false">M185+N185</f>
        <v>0</v>
      </c>
      <c r="M185" s="155"/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123</v>
      </c>
      <c r="C186" s="35" t="s">
        <v>20</v>
      </c>
      <c r="D186" s="35"/>
      <c r="E186" s="35" t="s">
        <v>25</v>
      </c>
      <c r="F186" s="36"/>
      <c r="G186" s="146" t="s">
        <v>22</v>
      </c>
      <c r="H186" s="159" t="n">
        <v>5</v>
      </c>
      <c r="I186" s="160" t="n">
        <v>4</v>
      </c>
      <c r="J186" s="160" t="n">
        <v>4</v>
      </c>
      <c r="K186" s="161" t="n">
        <v>4193.56</v>
      </c>
      <c r="L186" s="161" t="n">
        <f aca="false">M186+N186</f>
        <v>2255.36</v>
      </c>
      <c r="M186" s="161" t="n">
        <v>2255.36</v>
      </c>
      <c r="N186" s="190"/>
      <c r="O186" s="163" t="n">
        <v>6</v>
      </c>
      <c r="P186" s="161" t="n">
        <v>10868.41</v>
      </c>
      <c r="Q186" s="161" t="n">
        <f aca="false">R186+S186</f>
        <v>10868.41</v>
      </c>
      <c r="R186" s="161" t="n">
        <v>10868.41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207</v>
      </c>
      <c r="G187" s="164" t="s">
        <v>26</v>
      </c>
      <c r="H187" s="153" t="n">
        <v>3</v>
      </c>
      <c r="I187" s="165"/>
      <c r="J187" s="165"/>
      <c r="K187" s="166"/>
      <c r="L187" s="161" t="n">
        <f aca="false">M187+N187</f>
        <v>0</v>
      </c>
      <c r="M187" s="166" t="n">
        <v>0</v>
      </c>
      <c r="N187" s="156"/>
      <c r="O187" s="168" t="n">
        <v>1</v>
      </c>
      <c r="P187" s="166"/>
      <c r="Q187" s="166" t="n">
        <f aca="false">R187+S187</f>
        <v>881</v>
      </c>
      <c r="R187" s="166" t="n">
        <f aca="false">881</f>
        <v>881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17"/>
      <c r="B188" s="18" t="s">
        <v>124</v>
      </c>
      <c r="C188" s="19" t="s">
        <v>20</v>
      </c>
      <c r="D188" s="19"/>
      <c r="E188" s="19" t="s">
        <v>88</v>
      </c>
      <c r="F188" s="20"/>
      <c r="G188" s="146" t="s">
        <v>22</v>
      </c>
      <c r="H188" s="159" t="n">
        <v>11</v>
      </c>
      <c r="I188" s="148" t="n">
        <v>7</v>
      </c>
      <c r="J188" s="148" t="n">
        <v>7</v>
      </c>
      <c r="K188" s="149" t="n">
        <v>9941.39</v>
      </c>
      <c r="L188" s="149" t="n">
        <f aca="false">M188+N188</f>
        <v>5959.27</v>
      </c>
      <c r="M188" s="149" t="n">
        <v>3286.13</v>
      </c>
      <c r="N188" s="190" t="n">
        <v>2673.14</v>
      </c>
      <c r="O188" s="151" t="n">
        <v>9</v>
      </c>
      <c r="P188" s="149" t="n">
        <v>21526.95</v>
      </c>
      <c r="Q188" s="149" t="n">
        <f aca="false">R188+S188</f>
        <v>19070.72</v>
      </c>
      <c r="R188" s="149" t="n">
        <v>16237.42</v>
      </c>
      <c r="S188" s="190" t="n">
        <v>2833.3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42" t="s">
        <v>245</v>
      </c>
      <c r="G189" s="164" t="s">
        <v>23</v>
      </c>
      <c r="H189" s="172" t="n">
        <v>9</v>
      </c>
      <c r="I189" s="165" t="n">
        <v>2</v>
      </c>
      <c r="J189" s="165" t="n">
        <v>2</v>
      </c>
      <c r="K189" s="166" t="n">
        <v>925.05</v>
      </c>
      <c r="L189" s="166" t="n">
        <v>0</v>
      </c>
      <c r="M189" s="166"/>
      <c r="N189" s="156"/>
      <c r="O189" s="168" t="n">
        <v>6</v>
      </c>
      <c r="P189" s="166" t="n">
        <v>9061.9</v>
      </c>
      <c r="Q189" s="166" t="n">
        <v>8092.8</v>
      </c>
      <c r="R189" s="166" t="n">
        <v>8092.8</v>
      </c>
      <c r="S189" s="156" t="n">
        <v>969.1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208</v>
      </c>
      <c r="C190" s="19"/>
      <c r="D190" s="19"/>
      <c r="E190" s="127"/>
      <c r="F190" s="20"/>
      <c r="G190" s="146" t="s">
        <v>22</v>
      </c>
      <c r="H190" s="173" t="n">
        <v>27</v>
      </c>
      <c r="I190" s="148" t="n">
        <v>22</v>
      </c>
      <c r="J190" s="148" t="n">
        <v>22</v>
      </c>
      <c r="K190" s="149" t="n">
        <v>30664.96</v>
      </c>
      <c r="L190" s="149" t="n">
        <f aca="false">M190+N190</f>
        <v>30664.96</v>
      </c>
      <c r="M190" s="149" t="n">
        <v>2396.32</v>
      </c>
      <c r="N190" s="190" t="n">
        <v>28268.64</v>
      </c>
      <c r="O190" s="151"/>
      <c r="P190" s="149"/>
      <c r="Q190" s="149" t="n">
        <f aca="false">R190+S190</f>
        <v>0</v>
      </c>
      <c r="R190" s="149"/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28"/>
      <c r="F191" s="26" t="s">
        <v>246</v>
      </c>
      <c r="G191" s="152" t="s">
        <v>23</v>
      </c>
      <c r="H191" s="174" t="n">
        <v>9</v>
      </c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125</v>
      </c>
      <c r="C192" s="35" t="s">
        <v>33</v>
      </c>
      <c r="D192" s="35" t="s">
        <v>126</v>
      </c>
      <c r="E192" s="35" t="s">
        <v>127</v>
      </c>
      <c r="F192" s="36"/>
      <c r="G192" s="158" t="s">
        <v>22</v>
      </c>
      <c r="H192" s="159" t="n">
        <v>11</v>
      </c>
      <c r="I192" s="160" t="n">
        <v>7</v>
      </c>
      <c r="J192" s="160" t="n">
        <v>8</v>
      </c>
      <c r="K192" s="161" t="n">
        <v>20631.17</v>
      </c>
      <c r="L192" s="161" t="n">
        <f aca="false">M192+N192</f>
        <v>7126.5</v>
      </c>
      <c r="M192" s="161" t="n">
        <v>6427.42</v>
      </c>
      <c r="N192" s="190" t="n">
        <v>699.08</v>
      </c>
      <c r="O192" s="163" t="n">
        <v>14</v>
      </c>
      <c r="P192" s="161" t="n">
        <v>33154.57</v>
      </c>
      <c r="Q192" s="161" t="n">
        <f aca="false">R192+S192</f>
        <v>32035.95</v>
      </c>
      <c r="R192" s="161" t="n">
        <v>24224.96</v>
      </c>
      <c r="S192" s="190" t="n">
        <v>7810.99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/>
      <c r="G193" s="164" t="s">
        <v>23</v>
      </c>
      <c r="H193" s="171" t="n">
        <v>31</v>
      </c>
      <c r="I193" s="165" t="n">
        <v>6</v>
      </c>
      <c r="J193" s="165" t="n">
        <v>6</v>
      </c>
      <c r="K193" s="166" t="n">
        <v>10924.4</v>
      </c>
      <c r="L193" s="166" t="n">
        <v>5109.8</v>
      </c>
      <c r="M193" s="166" t="n">
        <v>5109.8</v>
      </c>
      <c r="N193" s="156" t="n">
        <v>704.8</v>
      </c>
      <c r="O193" s="168" t="n">
        <v>16</v>
      </c>
      <c r="P193" s="166" t="n">
        <v>39022.9</v>
      </c>
      <c r="Q193" s="166" t="n">
        <v>25129.92</v>
      </c>
      <c r="R193" s="166" t="n">
        <v>25129.92</v>
      </c>
      <c r="S193" s="156" t="n">
        <v>5902.2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" hidden="false" customHeight="true" outlineLevel="0" collapsed="false">
      <c r="A194" s="17"/>
      <c r="B194" s="18" t="s">
        <v>128</v>
      </c>
      <c r="C194" s="19" t="s">
        <v>20</v>
      </c>
      <c r="D194" s="19"/>
      <c r="E194" s="19" t="s">
        <v>25</v>
      </c>
      <c r="F194" s="20"/>
      <c r="G194" s="146" t="s">
        <v>22</v>
      </c>
      <c r="H194" s="159" t="n">
        <v>19</v>
      </c>
      <c r="I194" s="148" t="n">
        <v>11</v>
      </c>
      <c r="J194" s="148" t="n">
        <v>12</v>
      </c>
      <c r="K194" s="149" t="n">
        <v>13365.9</v>
      </c>
      <c r="L194" s="149" t="n">
        <f aca="false">M194+N194</f>
        <v>10868.49</v>
      </c>
      <c r="M194" s="149" t="n">
        <v>10868.49</v>
      </c>
      <c r="N194" s="190"/>
      <c r="O194" s="151" t="n">
        <v>24</v>
      </c>
      <c r="P194" s="149" t="n">
        <v>42740.26</v>
      </c>
      <c r="Q194" s="149" t="n">
        <f aca="false">R194+S194</f>
        <v>42740.26</v>
      </c>
      <c r="R194" s="149" t="n">
        <v>42740.26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71"/>
      <c r="G195" s="164" t="s">
        <v>26</v>
      </c>
      <c r="H195" s="175"/>
      <c r="I195" s="165"/>
      <c r="J195" s="165"/>
      <c r="K195" s="166"/>
      <c r="L195" s="166" t="n">
        <f aca="false">M195+N195</f>
        <v>0</v>
      </c>
      <c r="M195" s="166"/>
      <c r="N195" s="156"/>
      <c r="O195" s="168"/>
      <c r="P195" s="166"/>
      <c r="Q195" s="166" t="n">
        <f aca="false">R195+S195</f>
        <v>0</v>
      </c>
      <c r="R195" s="166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227</v>
      </c>
      <c r="C196" s="19"/>
      <c r="D196" s="19"/>
      <c r="E196" s="19"/>
      <c r="F196" s="20"/>
      <c r="G196" s="204" t="s">
        <v>22</v>
      </c>
      <c r="H196" s="173" t="n">
        <v>4</v>
      </c>
      <c r="I196" s="148" t="n">
        <v>1</v>
      </c>
      <c r="J196" s="148" t="n">
        <v>1</v>
      </c>
      <c r="K196" s="149" t="n">
        <v>621.99</v>
      </c>
      <c r="L196" s="149" t="n">
        <f aca="false">M196+N196</f>
        <v>0</v>
      </c>
      <c r="M196" s="149"/>
      <c r="N196" s="190"/>
      <c r="O196" s="206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57"/>
      <c r="G197" s="207" t="s">
        <v>26</v>
      </c>
      <c r="H197" s="174"/>
      <c r="I197" s="154"/>
      <c r="J197" s="154"/>
      <c r="K197" s="155"/>
      <c r="L197" s="155" t="n">
        <f aca="false">M197+N197</f>
        <v>0</v>
      </c>
      <c r="M197" s="155"/>
      <c r="N197" s="156"/>
      <c r="O197" s="209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129</v>
      </c>
      <c r="C198" s="35" t="s">
        <v>38</v>
      </c>
      <c r="D198" s="35" t="s">
        <v>130</v>
      </c>
      <c r="E198" s="35" t="s">
        <v>25</v>
      </c>
      <c r="F198" s="36"/>
      <c r="G198" s="158" t="s">
        <v>22</v>
      </c>
      <c r="H198" s="159" t="n">
        <v>11</v>
      </c>
      <c r="I198" s="160" t="n">
        <v>10</v>
      </c>
      <c r="J198" s="160" t="n">
        <v>10</v>
      </c>
      <c r="K198" s="161" t="n">
        <v>8519.19</v>
      </c>
      <c r="L198" s="161" t="n">
        <f aca="false">M198+N198</f>
        <v>5680.61</v>
      </c>
      <c r="M198" s="161" t="n">
        <v>5680.61</v>
      </c>
      <c r="N198" s="190"/>
      <c r="O198" s="163" t="n">
        <v>4</v>
      </c>
      <c r="P198" s="161" t="n">
        <v>56685.93</v>
      </c>
      <c r="Q198" s="161" t="n">
        <f aca="false">R198+S198</f>
        <v>44463.45</v>
      </c>
      <c r="R198" s="161" t="n">
        <v>44463.45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 t="s">
        <v>209</v>
      </c>
      <c r="G199" s="164" t="s">
        <v>26</v>
      </c>
      <c r="H199" s="153" t="n">
        <v>3</v>
      </c>
      <c r="I199" s="165" t="n">
        <v>1</v>
      </c>
      <c r="J199" s="165" t="n">
        <v>1</v>
      </c>
      <c r="K199" s="166" t="n">
        <v>1762</v>
      </c>
      <c r="L199" s="161" t="n">
        <f aca="false">M199+N199</f>
        <v>0</v>
      </c>
      <c r="M199" s="166" t="n">
        <v>0</v>
      </c>
      <c r="N199" s="156"/>
      <c r="O199" s="168" t="n">
        <v>7</v>
      </c>
      <c r="P199" s="166" t="n">
        <v>20590.6</v>
      </c>
      <c r="Q199" s="166" t="n">
        <f aca="false">R199+S199</f>
        <v>17783.7</v>
      </c>
      <c r="R199" s="166" t="n">
        <f aca="false">881+881+14612.2+1409.5</f>
        <v>17783.7</v>
      </c>
      <c r="S199" s="167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17"/>
      <c r="B200" s="18" t="s">
        <v>131</v>
      </c>
      <c r="C200" s="19" t="s">
        <v>38</v>
      </c>
      <c r="D200" s="19" t="s">
        <v>130</v>
      </c>
      <c r="E200" s="19" t="s">
        <v>25</v>
      </c>
      <c r="F200" s="20"/>
      <c r="G200" s="146" t="s">
        <v>22</v>
      </c>
      <c r="H200" s="159" t="n">
        <v>10</v>
      </c>
      <c r="I200" s="148" t="n">
        <v>8</v>
      </c>
      <c r="J200" s="148" t="n">
        <v>13</v>
      </c>
      <c r="K200" s="149" t="n">
        <v>31320.86</v>
      </c>
      <c r="L200" s="149" t="n">
        <f aca="false">M200+N200</f>
        <v>25996.1</v>
      </c>
      <c r="M200" s="149" t="n">
        <v>25996.1</v>
      </c>
      <c r="N200" s="190"/>
      <c r="O200" s="151" t="n">
        <v>15</v>
      </c>
      <c r="P200" s="149" t="n">
        <v>153910.62</v>
      </c>
      <c r="Q200" s="149" t="n">
        <f aca="false">R200+S200</f>
        <v>58274.05</v>
      </c>
      <c r="R200" s="149" t="n">
        <v>58274.05</v>
      </c>
      <c r="S200" s="198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17"/>
      <c r="B201" s="18"/>
      <c r="C201" s="18"/>
      <c r="D201" s="18"/>
      <c r="E201" s="18"/>
      <c r="F201" s="26" t="s">
        <v>210</v>
      </c>
      <c r="G201" s="152" t="s">
        <v>26</v>
      </c>
      <c r="H201" s="153" t="n">
        <v>4</v>
      </c>
      <c r="I201" s="154" t="n">
        <v>3</v>
      </c>
      <c r="J201" s="154" t="n">
        <v>3</v>
      </c>
      <c r="K201" s="155" t="n">
        <v>2114.4</v>
      </c>
      <c r="L201" s="155" t="n">
        <f aca="false">M201+N201</f>
        <v>1585.8</v>
      </c>
      <c r="M201" s="155" t="n">
        <f aca="false">1585.8</f>
        <v>1585.8</v>
      </c>
      <c r="N201" s="156"/>
      <c r="O201" s="157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33"/>
      <c r="B202" s="34" t="s">
        <v>132</v>
      </c>
      <c r="C202" s="35" t="s">
        <v>20</v>
      </c>
      <c r="D202" s="35"/>
      <c r="E202" s="35" t="s">
        <v>69</v>
      </c>
      <c r="F202" s="38"/>
      <c r="G202" s="146" t="s">
        <v>22</v>
      </c>
      <c r="H202" s="159" t="n">
        <v>11</v>
      </c>
      <c r="I202" s="160" t="n">
        <v>7</v>
      </c>
      <c r="J202" s="160" t="n">
        <v>11</v>
      </c>
      <c r="K202" s="161" t="n">
        <v>23368.97</v>
      </c>
      <c r="L202" s="161" t="n">
        <f aca="false">M202+N202</f>
        <v>23368.97</v>
      </c>
      <c r="M202" s="161" t="n">
        <v>14544.62</v>
      </c>
      <c r="N202" s="190" t="n">
        <v>8824.35</v>
      </c>
      <c r="O202" s="163" t="n">
        <v>13</v>
      </c>
      <c r="P202" s="161" t="n">
        <v>43004.3</v>
      </c>
      <c r="Q202" s="161" t="n">
        <f aca="false">R202+S202</f>
        <v>28827.93</v>
      </c>
      <c r="R202" s="161" t="n">
        <v>28827.93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33"/>
      <c r="B203" s="34"/>
      <c r="C203" s="34"/>
      <c r="D203" s="34"/>
      <c r="E203" s="34"/>
      <c r="F203" s="42" t="s">
        <v>211</v>
      </c>
      <c r="G203" s="164" t="s">
        <v>26</v>
      </c>
      <c r="H203" s="153" t="n">
        <v>8</v>
      </c>
      <c r="I203" s="165" t="n">
        <v>3</v>
      </c>
      <c r="J203" s="165" t="n">
        <v>3</v>
      </c>
      <c r="K203" s="166" t="n">
        <v>10184.36</v>
      </c>
      <c r="L203" s="166" t="n">
        <f aca="false">M203+N203</f>
        <v>0</v>
      </c>
      <c r="M203" s="166"/>
      <c r="N203" s="156"/>
      <c r="O203" s="168" t="n">
        <v>1</v>
      </c>
      <c r="P203" s="166" t="n">
        <v>3700.2</v>
      </c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72"/>
      <c r="B204" s="73" t="s">
        <v>133</v>
      </c>
      <c r="C204" s="74" t="s">
        <v>20</v>
      </c>
      <c r="D204" s="74"/>
      <c r="E204" s="74" t="s">
        <v>25</v>
      </c>
      <c r="F204" s="22"/>
      <c r="G204" s="146" t="s">
        <v>22</v>
      </c>
      <c r="H204" s="159" t="n">
        <v>4</v>
      </c>
      <c r="I204" s="148" t="n">
        <v>4</v>
      </c>
      <c r="J204" s="148" t="n">
        <v>4</v>
      </c>
      <c r="K204" s="149" t="n">
        <v>6036.84</v>
      </c>
      <c r="L204" s="149" t="n">
        <f aca="false">M204+N204</f>
        <v>2784.03</v>
      </c>
      <c r="M204" s="149" t="n">
        <v>2784.03</v>
      </c>
      <c r="N204" s="190"/>
      <c r="O204" s="151" t="n">
        <v>2</v>
      </c>
      <c r="P204" s="149" t="n">
        <v>4329.79</v>
      </c>
      <c r="Q204" s="149" t="n">
        <f aca="false">R204+S204</f>
        <v>4329.79</v>
      </c>
      <c r="R204" s="149" t="n">
        <v>4329.79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72"/>
      <c r="B205" s="73"/>
      <c r="C205" s="73"/>
      <c r="D205" s="73"/>
      <c r="E205" s="73"/>
      <c r="F205" s="42" t="s">
        <v>212</v>
      </c>
      <c r="G205" s="164" t="s">
        <v>26</v>
      </c>
      <c r="H205" s="171" t="n">
        <v>4</v>
      </c>
      <c r="I205" s="165" t="n">
        <v>1</v>
      </c>
      <c r="J205" s="165" t="n">
        <v>1</v>
      </c>
      <c r="K205" s="166" t="n">
        <v>1409.6</v>
      </c>
      <c r="L205" s="166" t="n">
        <f aca="false">M205+N205</f>
        <v>1409.6</v>
      </c>
      <c r="M205" s="166" t="n">
        <f aca="false">1409.6</f>
        <v>1409.6</v>
      </c>
      <c r="N205" s="156"/>
      <c r="O205" s="168" t="n">
        <v>2</v>
      </c>
      <c r="P205" s="166" t="n">
        <v>1321.5</v>
      </c>
      <c r="Q205" s="166" t="n">
        <f aca="false">R205+S205</f>
        <v>1321.5</v>
      </c>
      <c r="R205" s="166" t="n">
        <f aca="false">1321.5</f>
        <v>1321.5</v>
      </c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72"/>
      <c r="B206" s="73" t="s">
        <v>134</v>
      </c>
      <c r="C206" s="74" t="s">
        <v>20</v>
      </c>
      <c r="D206" s="74"/>
      <c r="E206" s="74" t="s">
        <v>25</v>
      </c>
      <c r="F206" s="20"/>
      <c r="G206" s="146" t="s">
        <v>22</v>
      </c>
      <c r="H206" s="169"/>
      <c r="I206" s="148"/>
      <c r="J206" s="148"/>
      <c r="K206" s="149"/>
      <c r="L206" s="149" t="n">
        <f aca="false">M206+N206</f>
        <v>0</v>
      </c>
      <c r="M206" s="149"/>
      <c r="N206" s="190"/>
      <c r="O206" s="151" t="n">
        <v>1</v>
      </c>
      <c r="P206" s="149" t="n">
        <v>13019.26</v>
      </c>
      <c r="Q206" s="149" t="n">
        <f aca="false">R206+S206</f>
        <v>13019.26</v>
      </c>
      <c r="R206" s="149" t="n">
        <v>13019.26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72"/>
      <c r="B207" s="73"/>
      <c r="C207" s="73"/>
      <c r="D207" s="73"/>
      <c r="E207" s="73"/>
      <c r="F207" s="42" t="s">
        <v>213</v>
      </c>
      <c r="G207" s="164" t="s">
        <v>26</v>
      </c>
      <c r="H207" s="153" t="n">
        <v>3</v>
      </c>
      <c r="I207" s="165"/>
      <c r="J207" s="165"/>
      <c r="K207" s="166"/>
      <c r="L207" s="166" t="n">
        <f aca="false">M207+N207</f>
        <v>0</v>
      </c>
      <c r="M207" s="166"/>
      <c r="N207" s="156"/>
      <c r="O207" s="168" t="n">
        <v>5</v>
      </c>
      <c r="P207" s="166" t="n">
        <v>23840.15</v>
      </c>
      <c r="Q207" s="166" t="n">
        <f aca="false">R207+S207</f>
        <v>19875.62</v>
      </c>
      <c r="R207" s="166" t="n">
        <f aca="false">19875.62</f>
        <v>19875.62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" hidden="false" customHeight="true" outlineLevel="0" collapsed="false">
      <c r="A208" s="17"/>
      <c r="B208" s="18" t="s">
        <v>135</v>
      </c>
      <c r="C208" s="19" t="s">
        <v>20</v>
      </c>
      <c r="D208" s="19"/>
      <c r="E208" s="19" t="s">
        <v>69</v>
      </c>
      <c r="F208" s="22"/>
      <c r="G208" s="146" t="s">
        <v>22</v>
      </c>
      <c r="H208" s="159" t="n">
        <v>12</v>
      </c>
      <c r="I208" s="148" t="n">
        <v>4</v>
      </c>
      <c r="J208" s="148" t="n">
        <v>5</v>
      </c>
      <c r="K208" s="149" t="n">
        <v>7863.81</v>
      </c>
      <c r="L208" s="149" t="n">
        <f aca="false">M208+N208</f>
        <v>4158.32</v>
      </c>
      <c r="M208" s="149" t="n">
        <v>4158.32</v>
      </c>
      <c r="N208" s="190"/>
      <c r="O208" s="151" t="n">
        <v>13</v>
      </c>
      <c r="P208" s="149" t="n">
        <v>42132.95</v>
      </c>
      <c r="Q208" s="149" t="n">
        <f aca="false">R208+S208</f>
        <v>16446.2</v>
      </c>
      <c r="R208" s="149" t="n">
        <v>16446.2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 t="s">
        <v>277</v>
      </c>
      <c r="G209" s="152" t="s">
        <v>26</v>
      </c>
      <c r="H209" s="171" t="n">
        <v>6</v>
      </c>
      <c r="I209" s="154"/>
      <c r="J209" s="154" t="n">
        <v>2</v>
      </c>
      <c r="K209" s="155" t="n">
        <v>1409.6</v>
      </c>
      <c r="L209" s="155" t="n">
        <f aca="false">M209+N209</f>
        <v>0</v>
      </c>
      <c r="M209" s="155"/>
      <c r="N209" s="156"/>
      <c r="O209" s="157" t="n">
        <v>2</v>
      </c>
      <c r="P209" s="155" t="n">
        <v>2292.9</v>
      </c>
      <c r="Q209" s="155" t="n">
        <f aca="false">R209+S209</f>
        <v>792.9</v>
      </c>
      <c r="R209" s="155" t="n">
        <f aca="false">792.9</f>
        <v>792.9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33"/>
      <c r="B210" s="34" t="s">
        <v>136</v>
      </c>
      <c r="C210" s="35" t="s">
        <v>20</v>
      </c>
      <c r="D210" s="35"/>
      <c r="E210" s="35" t="s">
        <v>98</v>
      </c>
      <c r="F210" s="36"/>
      <c r="G210" s="146" t="s">
        <v>22</v>
      </c>
      <c r="H210" s="159" t="n">
        <v>19</v>
      </c>
      <c r="I210" s="160" t="n">
        <v>12</v>
      </c>
      <c r="J210" s="160" t="n">
        <v>16</v>
      </c>
      <c r="K210" s="161" t="n">
        <v>29378.55</v>
      </c>
      <c r="L210" s="161" t="n">
        <f aca="false">M210+N210</f>
        <v>20218.61</v>
      </c>
      <c r="M210" s="161" t="n">
        <v>20218.61</v>
      </c>
      <c r="N210" s="190"/>
      <c r="O210" s="163" t="n">
        <v>11</v>
      </c>
      <c r="P210" s="161" t="n">
        <v>23371.27</v>
      </c>
      <c r="Q210" s="161" t="n">
        <f aca="false">R210+S210</f>
        <v>14877.54</v>
      </c>
      <c r="R210" s="161" t="n">
        <v>14877.54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247</v>
      </c>
      <c r="G211" s="164" t="s">
        <v>23</v>
      </c>
      <c r="H211" s="171" t="n">
        <v>6</v>
      </c>
      <c r="I211" s="165" t="n">
        <v>6</v>
      </c>
      <c r="J211" s="165" t="n">
        <v>6</v>
      </c>
      <c r="K211" s="166" t="n">
        <v>4581.2</v>
      </c>
      <c r="L211" s="166" t="n">
        <f aca="false">M211+N211</f>
        <v>4052.6</v>
      </c>
      <c r="M211" s="166" t="n">
        <v>4052.6</v>
      </c>
      <c r="N211" s="156"/>
      <c r="O211" s="168" t="n">
        <v>7</v>
      </c>
      <c r="P211" s="166" t="n">
        <v>14800.8</v>
      </c>
      <c r="Q211" s="166" t="n">
        <v>5638.4</v>
      </c>
      <c r="R211" s="166" t="n">
        <v>5638.4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137</v>
      </c>
      <c r="C212" s="19" t="s">
        <v>20</v>
      </c>
      <c r="D212" s="19"/>
      <c r="E212" s="19" t="s">
        <v>25</v>
      </c>
      <c r="F212" s="20"/>
      <c r="G212" s="146" t="s">
        <v>22</v>
      </c>
      <c r="H212" s="169"/>
      <c r="I212" s="148"/>
      <c r="J212" s="148"/>
      <c r="K212" s="149"/>
      <c r="L212" s="149" t="n">
        <f aca="false">M212+N212</f>
        <v>0</v>
      </c>
      <c r="M212" s="149"/>
      <c r="N212" s="190"/>
      <c r="O212" s="151"/>
      <c r="P212" s="149"/>
      <c r="Q212" s="149" t="n">
        <f aca="false">R212+S212</f>
        <v>0</v>
      </c>
      <c r="R212" s="149"/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20.25" hidden="false" customHeight="true" outlineLevel="0" collapsed="false">
      <c r="A213" s="17"/>
      <c r="B213" s="18"/>
      <c r="C213" s="18"/>
      <c r="D213" s="18"/>
      <c r="E213" s="18"/>
      <c r="F213" s="26" t="s">
        <v>286</v>
      </c>
      <c r="G213" s="152" t="s">
        <v>26</v>
      </c>
      <c r="H213" s="153" t="n">
        <v>9</v>
      </c>
      <c r="I213" s="154" t="n">
        <v>1</v>
      </c>
      <c r="J213" s="154" t="n">
        <v>1</v>
      </c>
      <c r="K213" s="155" t="n">
        <v>1938.2</v>
      </c>
      <c r="L213" s="155" t="n">
        <f aca="false">M213+N213</f>
        <v>0</v>
      </c>
      <c r="M213" s="155"/>
      <c r="N213" s="156"/>
      <c r="O213" s="157"/>
      <c r="P213" s="155"/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138</v>
      </c>
      <c r="C214" s="56" t="s">
        <v>33</v>
      </c>
      <c r="D214" s="56" t="s">
        <v>139</v>
      </c>
      <c r="E214" s="56" t="s">
        <v>25</v>
      </c>
      <c r="F214" s="36"/>
      <c r="G214" s="146" t="s">
        <v>22</v>
      </c>
      <c r="H214" s="169"/>
      <c r="I214" s="160"/>
      <c r="J214" s="160"/>
      <c r="K214" s="161"/>
      <c r="L214" s="161" t="n">
        <f aca="false">M214+N214</f>
        <v>0</v>
      </c>
      <c r="M214" s="161"/>
      <c r="N214" s="190"/>
      <c r="O214" s="163"/>
      <c r="P214" s="161"/>
      <c r="Q214" s="161" t="n">
        <f aca="false">R214+S214</f>
        <v>0</v>
      </c>
      <c r="R214" s="161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214</v>
      </c>
      <c r="G215" s="152" t="s">
        <v>26</v>
      </c>
      <c r="H215" s="171" t="n">
        <v>5</v>
      </c>
      <c r="I215" s="154" t="n">
        <v>2</v>
      </c>
      <c r="J215" s="154" t="n">
        <v>2</v>
      </c>
      <c r="K215" s="155" t="n">
        <v>4158.32</v>
      </c>
      <c r="L215" s="155" t="n">
        <f aca="false">M215+N215</f>
        <v>2466.8</v>
      </c>
      <c r="M215" s="155" t="n">
        <f aca="false">2466.8</f>
        <v>2466.8</v>
      </c>
      <c r="N215" s="156"/>
      <c r="O215" s="157"/>
      <c r="P215" s="155"/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33"/>
      <c r="B216" s="34" t="s">
        <v>140</v>
      </c>
      <c r="C216" s="35" t="s">
        <v>20</v>
      </c>
      <c r="D216" s="35"/>
      <c r="E216" s="35" t="s">
        <v>141</v>
      </c>
      <c r="F216" s="36"/>
      <c r="G216" s="146" t="s">
        <v>22</v>
      </c>
      <c r="H216" s="159" t="n">
        <v>14</v>
      </c>
      <c r="I216" s="160" t="n">
        <v>13</v>
      </c>
      <c r="J216" s="160" t="n">
        <v>14</v>
      </c>
      <c r="K216" s="161" t="n">
        <v>16759.36</v>
      </c>
      <c r="L216" s="161" t="n">
        <f aca="false">M216+N216</f>
        <v>13067.09</v>
      </c>
      <c r="M216" s="161" t="n">
        <v>3881.13</v>
      </c>
      <c r="N216" s="190" t="n">
        <v>9185.96</v>
      </c>
      <c r="O216" s="163" t="n">
        <v>9</v>
      </c>
      <c r="P216" s="161" t="n">
        <v>24064.99</v>
      </c>
      <c r="Q216" s="161" t="n">
        <f aca="false">R216+S216</f>
        <v>24064.99</v>
      </c>
      <c r="R216" s="161" t="n">
        <v>21585.86</v>
      </c>
      <c r="S216" s="190" t="n">
        <v>2479.13</v>
      </c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42" t="s">
        <v>215</v>
      </c>
      <c r="G217" s="164" t="s">
        <v>26</v>
      </c>
      <c r="H217" s="175" t="n">
        <v>1</v>
      </c>
      <c r="I217" s="165"/>
      <c r="J217" s="165"/>
      <c r="K217" s="166"/>
      <c r="L217" s="166" t="n">
        <f aca="false">M217+N217</f>
        <v>0</v>
      </c>
      <c r="M217" s="166"/>
      <c r="N217" s="156"/>
      <c r="O217" s="168"/>
      <c r="P217" s="166"/>
      <c r="Q217" s="166" t="n">
        <f aca="false">R217+S217</f>
        <v>0</v>
      </c>
      <c r="R217" s="166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251</v>
      </c>
      <c r="C218" s="19" t="s">
        <v>20</v>
      </c>
      <c r="D218" s="19"/>
      <c r="E218" s="19" t="s">
        <v>116</v>
      </c>
      <c r="F218" s="20"/>
      <c r="G218" s="146" t="s">
        <v>22</v>
      </c>
      <c r="H218" s="173" t="n">
        <v>5</v>
      </c>
      <c r="I218" s="148" t="n">
        <v>3</v>
      </c>
      <c r="J218" s="148" t="n">
        <v>3</v>
      </c>
      <c r="K218" s="149" t="n">
        <v>3851.92</v>
      </c>
      <c r="L218" s="149"/>
      <c r="M218" s="149"/>
      <c r="N218" s="190"/>
      <c r="O218" s="206"/>
      <c r="P218" s="149"/>
      <c r="Q218" s="149"/>
      <c r="R218" s="149"/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252</v>
      </c>
      <c r="G219" s="152" t="s">
        <v>26</v>
      </c>
      <c r="H219" s="174" t="n">
        <v>6</v>
      </c>
      <c r="I219" s="154"/>
      <c r="J219" s="154"/>
      <c r="K219" s="155"/>
      <c r="L219" s="155"/>
      <c r="M219" s="155"/>
      <c r="N219" s="156"/>
      <c r="O219" s="209"/>
      <c r="P219" s="155"/>
      <c r="Q219" s="155"/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54"/>
      <c r="B220" s="55" t="s">
        <v>142</v>
      </c>
      <c r="C220" s="56" t="s">
        <v>20</v>
      </c>
      <c r="D220" s="56"/>
      <c r="E220" s="56" t="s">
        <v>25</v>
      </c>
      <c r="F220" s="36"/>
      <c r="G220" s="158" t="s">
        <v>22</v>
      </c>
      <c r="H220" s="173" t="n">
        <v>4</v>
      </c>
      <c r="I220" s="148" t="n">
        <v>4</v>
      </c>
      <c r="J220" s="148" t="n">
        <v>4</v>
      </c>
      <c r="K220" s="149" t="n">
        <v>3418.28</v>
      </c>
      <c r="L220" s="149" t="n">
        <f aca="false">M220+N220</f>
        <v>3418.28</v>
      </c>
      <c r="M220" s="149" t="n">
        <v>1656.28</v>
      </c>
      <c r="N220" s="190" t="n">
        <v>1762</v>
      </c>
      <c r="O220" s="228" t="n">
        <v>5</v>
      </c>
      <c r="P220" s="161" t="n">
        <v>8844.46</v>
      </c>
      <c r="Q220" s="161" t="n">
        <f aca="false">R220+S220</f>
        <v>8844.46</v>
      </c>
      <c r="R220" s="161" t="n">
        <v>3342.51</v>
      </c>
      <c r="S220" s="190" t="n">
        <v>5501.95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54"/>
      <c r="B221" s="55"/>
      <c r="C221" s="55"/>
      <c r="D221" s="55"/>
      <c r="E221" s="55"/>
      <c r="F221" s="42" t="s">
        <v>216</v>
      </c>
      <c r="G221" s="164" t="s">
        <v>26</v>
      </c>
      <c r="H221" s="177" t="n">
        <v>7</v>
      </c>
      <c r="I221" s="165" t="n">
        <v>3</v>
      </c>
      <c r="J221" s="165" t="n">
        <v>3</v>
      </c>
      <c r="K221" s="166" t="n">
        <v>5990.8</v>
      </c>
      <c r="L221" s="166" t="n">
        <f aca="false">M221+N221</f>
        <v>5167.21</v>
      </c>
      <c r="M221" s="166" t="n">
        <v>5167.21</v>
      </c>
      <c r="N221" s="167"/>
      <c r="O221" s="238" t="n">
        <v>11</v>
      </c>
      <c r="P221" s="166" t="n">
        <v>7343.2</v>
      </c>
      <c r="Q221" s="166" t="n">
        <f aca="false">R221+S221</f>
        <v>4876.19</v>
      </c>
      <c r="R221" s="166" t="n">
        <f aca="false">823.59+1233.4+2819.2</f>
        <v>4876.19</v>
      </c>
      <c r="S221" s="167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287</v>
      </c>
      <c r="C222" s="56" t="s">
        <v>20</v>
      </c>
      <c r="D222" s="19"/>
      <c r="E222" s="56" t="s">
        <v>25</v>
      </c>
      <c r="F222" s="20"/>
      <c r="G222" s="146" t="s">
        <v>22</v>
      </c>
      <c r="H222" s="147"/>
      <c r="I222" s="148"/>
      <c r="J222" s="148"/>
      <c r="K222" s="149"/>
      <c r="L222" s="149" t="n">
        <f aca="false">M222+N222</f>
        <v>0</v>
      </c>
      <c r="M222" s="149"/>
      <c r="N222" s="150"/>
      <c r="O222" s="206"/>
      <c r="P222" s="149"/>
      <c r="Q222" s="149" t="n">
        <f aca="false">R222+S222</f>
        <v>0</v>
      </c>
      <c r="R222" s="149"/>
      <c r="S222" s="15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288</v>
      </c>
      <c r="G223" s="152" t="s">
        <v>26</v>
      </c>
      <c r="H223" s="176" t="n">
        <v>3</v>
      </c>
      <c r="I223" s="154" t="n">
        <v>3</v>
      </c>
      <c r="J223" s="154" t="n">
        <v>3</v>
      </c>
      <c r="K223" s="155" t="n">
        <v>3171.6</v>
      </c>
      <c r="L223" s="155" t="n">
        <f aca="false">M223+N223</f>
        <v>0</v>
      </c>
      <c r="M223" s="155"/>
      <c r="N223" s="156"/>
      <c r="O223" s="209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33"/>
      <c r="B224" s="34" t="s">
        <v>143</v>
      </c>
      <c r="C224" s="35" t="s">
        <v>20</v>
      </c>
      <c r="D224" s="35"/>
      <c r="E224" s="35" t="s">
        <v>25</v>
      </c>
      <c r="F224" s="36"/>
      <c r="G224" s="158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 t="n">
        <v>1</v>
      </c>
      <c r="P224" s="161" t="n">
        <v>1515.67</v>
      </c>
      <c r="Q224" s="161" t="n">
        <f aca="false">R224+S224</f>
        <v>1515.67</v>
      </c>
      <c r="R224" s="161" t="n">
        <v>1515.67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217</v>
      </c>
      <c r="G225" s="164" t="s">
        <v>26</v>
      </c>
      <c r="H225" s="171" t="n">
        <v>7</v>
      </c>
      <c r="I225" s="165"/>
      <c r="J225" s="165"/>
      <c r="K225" s="166"/>
      <c r="L225" s="166" t="n">
        <f aca="false">M225+N225</f>
        <v>704.8</v>
      </c>
      <c r="M225" s="166" t="n">
        <f aca="false">704.8</f>
        <v>704.8</v>
      </c>
      <c r="N225" s="156"/>
      <c r="O225" s="168" t="n">
        <v>6</v>
      </c>
      <c r="P225" s="166" t="n">
        <v>34775.2</v>
      </c>
      <c r="Q225" s="166" t="n">
        <f aca="false">R225+S225</f>
        <v>13743.6</v>
      </c>
      <c r="R225" s="166" t="n">
        <f aca="false">704.8+13038.8</f>
        <v>13743.6</v>
      </c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144</v>
      </c>
      <c r="C226" s="19" t="s">
        <v>20</v>
      </c>
      <c r="D226" s="19"/>
      <c r="E226" s="19" t="s">
        <v>81</v>
      </c>
      <c r="F226" s="20"/>
      <c r="G226" s="146" t="s">
        <v>22</v>
      </c>
      <c r="H226" s="159" t="n">
        <v>9</v>
      </c>
      <c r="I226" s="148" t="n">
        <v>7</v>
      </c>
      <c r="J226" s="148" t="n">
        <v>7</v>
      </c>
      <c r="K226" s="149" t="n">
        <v>6542.31</v>
      </c>
      <c r="L226" s="149" t="n">
        <f aca="false">M226+N226</f>
        <v>2096.78</v>
      </c>
      <c r="M226" s="149" t="n">
        <v>2096.78</v>
      </c>
      <c r="N226" s="190"/>
      <c r="O226" s="151" t="n">
        <v>5</v>
      </c>
      <c r="P226" s="149" t="n">
        <v>16284.3</v>
      </c>
      <c r="Q226" s="149" t="n">
        <f aca="false">R226+S226</f>
        <v>3636.77</v>
      </c>
      <c r="R226" s="149" t="n">
        <v>3636.77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218</v>
      </c>
      <c r="G227" s="152" t="s">
        <v>26</v>
      </c>
      <c r="H227" s="171" t="n">
        <v>6</v>
      </c>
      <c r="I227" s="154" t="n">
        <v>2</v>
      </c>
      <c r="J227" s="154" t="n">
        <v>2</v>
      </c>
      <c r="K227" s="155" t="n">
        <v>4052.6</v>
      </c>
      <c r="L227" s="155" t="n">
        <f aca="false">M227+N227</f>
        <v>4052.6</v>
      </c>
      <c r="M227" s="155" t="n">
        <f aca="false">4052.6</f>
        <v>4052.6</v>
      </c>
      <c r="N227" s="156"/>
      <c r="O227" s="157" t="n">
        <v>2</v>
      </c>
      <c r="P227" s="155" t="n">
        <v>4493.1</v>
      </c>
      <c r="Q227" s="155" t="n">
        <f aca="false">R227+S227</f>
        <v>4493.1</v>
      </c>
      <c r="R227" s="155" t="n">
        <f aca="false">4493.1</f>
        <v>4493.1</v>
      </c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34" t="s">
        <v>145</v>
      </c>
      <c r="C228" s="35" t="s">
        <v>20</v>
      </c>
      <c r="D228" s="35"/>
      <c r="E228" s="35" t="s">
        <v>98</v>
      </c>
      <c r="F228" s="36"/>
      <c r="G228" s="146" t="s">
        <v>22</v>
      </c>
      <c r="H228" s="169"/>
      <c r="I228" s="160"/>
      <c r="J228" s="160"/>
      <c r="K228" s="161"/>
      <c r="L228" s="161" t="n">
        <f aca="false">M228+N228</f>
        <v>0</v>
      </c>
      <c r="M228" s="161"/>
      <c r="N228" s="190"/>
      <c r="O228" s="163"/>
      <c r="P228" s="161"/>
      <c r="Q228" s="161" t="n">
        <f aca="false">R228+S228</f>
        <v>0</v>
      </c>
      <c r="R228" s="161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34"/>
      <c r="C229" s="34"/>
      <c r="D229" s="34"/>
      <c r="E229" s="34"/>
      <c r="F229" s="71"/>
      <c r="G229" s="164" t="s">
        <v>23</v>
      </c>
      <c r="H229" s="175"/>
      <c r="I229" s="165"/>
      <c r="J229" s="165"/>
      <c r="K229" s="166"/>
      <c r="L229" s="166" t="n">
        <f aca="false">M229+N229</f>
        <v>0</v>
      </c>
      <c r="M229" s="166"/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17"/>
      <c r="B230" s="18" t="s">
        <v>146</v>
      </c>
      <c r="C230" s="19" t="s">
        <v>20</v>
      </c>
      <c r="D230" s="19"/>
      <c r="E230" s="19" t="s">
        <v>25</v>
      </c>
      <c r="F230" s="22"/>
      <c r="G230" s="146" t="s">
        <v>22</v>
      </c>
      <c r="H230" s="173" t="n">
        <v>8</v>
      </c>
      <c r="I230" s="148" t="n">
        <v>6</v>
      </c>
      <c r="J230" s="148" t="n">
        <v>7</v>
      </c>
      <c r="K230" s="149" t="n">
        <v>6699.12</v>
      </c>
      <c r="L230" s="149" t="n">
        <f aca="false">M230+N230</f>
        <v>6699.12</v>
      </c>
      <c r="M230" s="149" t="n">
        <v>2819.2</v>
      </c>
      <c r="N230" s="190" t="n">
        <v>3879.92</v>
      </c>
      <c r="O230" s="206" t="n">
        <v>1</v>
      </c>
      <c r="P230" s="149" t="n">
        <v>1546.68</v>
      </c>
      <c r="Q230" s="149" t="n">
        <f aca="false">R230+S230</f>
        <v>1546.68</v>
      </c>
      <c r="R230" s="149" t="n">
        <v>1546.68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42" t="s">
        <v>219</v>
      </c>
      <c r="G231" s="164" t="s">
        <v>26</v>
      </c>
      <c r="H231" s="178" t="n">
        <v>2</v>
      </c>
      <c r="I231" s="165" t="n">
        <v>1</v>
      </c>
      <c r="J231" s="165" t="n">
        <v>1</v>
      </c>
      <c r="K231" s="166" t="n">
        <v>1585.8</v>
      </c>
      <c r="L231" s="166" t="n">
        <f aca="false">M231+N231</f>
        <v>0</v>
      </c>
      <c r="M231" s="166" t="n">
        <v>0</v>
      </c>
      <c r="N231" s="167"/>
      <c r="O231" s="238" t="n">
        <v>1</v>
      </c>
      <c r="P231" s="166" t="n">
        <v>1585.8</v>
      </c>
      <c r="Q231" s="166" t="n">
        <f aca="false">R231+S231</f>
        <v>1585.8</v>
      </c>
      <c r="R231" s="166" t="n">
        <v>1585.8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289</v>
      </c>
      <c r="C232" s="19"/>
      <c r="D232" s="19"/>
      <c r="E232" s="19"/>
      <c r="F232" s="20"/>
      <c r="G232" s="146" t="s">
        <v>22</v>
      </c>
      <c r="H232" s="173" t="n">
        <v>1</v>
      </c>
      <c r="I232" s="148" t="n">
        <v>1</v>
      </c>
      <c r="J232" s="148" t="n">
        <v>2</v>
      </c>
      <c r="K232" s="149" t="n">
        <v>2643</v>
      </c>
      <c r="L232" s="149" t="n">
        <f aca="false">M232+N232</f>
        <v>0</v>
      </c>
      <c r="M232" s="149"/>
      <c r="N232" s="224"/>
      <c r="O232" s="151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57"/>
      <c r="G233" s="152" t="s">
        <v>23</v>
      </c>
      <c r="H233" s="174" t="n">
        <v>1</v>
      </c>
      <c r="I233" s="154" t="n">
        <v>1</v>
      </c>
      <c r="J233" s="154" t="n">
        <v>1</v>
      </c>
      <c r="K233" s="155" t="n">
        <v>2325.84</v>
      </c>
      <c r="L233" s="155" t="n">
        <v>2325.84</v>
      </c>
      <c r="M233" s="155" t="n">
        <v>2325.84</v>
      </c>
      <c r="N233" s="226"/>
      <c r="O233" s="157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54"/>
      <c r="B234" s="55" t="s">
        <v>147</v>
      </c>
      <c r="C234" s="56" t="s">
        <v>20</v>
      </c>
      <c r="D234" s="56"/>
      <c r="E234" s="56" t="s">
        <v>25</v>
      </c>
      <c r="F234" s="97"/>
      <c r="G234" s="158" t="s">
        <v>22</v>
      </c>
      <c r="H234" s="159" t="n">
        <v>4</v>
      </c>
      <c r="I234" s="160" t="n">
        <v>3</v>
      </c>
      <c r="J234" s="160" t="n">
        <v>3</v>
      </c>
      <c r="K234" s="161" t="n">
        <v>2093.26</v>
      </c>
      <c r="L234" s="161" t="n">
        <f aca="false">M234+N234</f>
        <v>2093.26</v>
      </c>
      <c r="M234" s="161" t="n">
        <v>2093.26</v>
      </c>
      <c r="N234" s="190"/>
      <c r="O234" s="163" t="n">
        <v>4</v>
      </c>
      <c r="P234" s="161" t="n">
        <v>16436.74</v>
      </c>
      <c r="Q234" s="161" t="n">
        <f aca="false">R234+S234</f>
        <v>16436.74</v>
      </c>
      <c r="R234" s="161" t="n">
        <v>16436.74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54"/>
      <c r="B235" s="55"/>
      <c r="C235" s="55"/>
      <c r="D235" s="55"/>
      <c r="E235" s="55"/>
      <c r="F235" s="26" t="s">
        <v>220</v>
      </c>
      <c r="G235" s="152" t="s">
        <v>26</v>
      </c>
      <c r="H235" s="171" t="n">
        <v>12</v>
      </c>
      <c r="I235" s="154" t="n">
        <v>2</v>
      </c>
      <c r="J235" s="154" t="n">
        <v>3</v>
      </c>
      <c r="K235" s="155" t="n">
        <v>9162.4</v>
      </c>
      <c r="L235" s="189" t="n">
        <f aca="false">M235+N235</f>
        <v>528.6</v>
      </c>
      <c r="M235" s="155" t="n">
        <f aca="false">528.6</f>
        <v>528.6</v>
      </c>
      <c r="N235" s="167"/>
      <c r="O235" s="157" t="n">
        <v>5</v>
      </c>
      <c r="P235" s="155" t="n">
        <v>13038.8</v>
      </c>
      <c r="Q235" s="161" t="n">
        <f aca="false">R235+S235</f>
        <v>18677.2</v>
      </c>
      <c r="R235" s="155" t="n">
        <f aca="false">7048+528.6+5638.4+5462.2</f>
        <v>18677.2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17"/>
      <c r="B236" s="18" t="s">
        <v>148</v>
      </c>
      <c r="C236" s="19" t="s">
        <v>20</v>
      </c>
      <c r="D236" s="19"/>
      <c r="E236" s="19" t="s">
        <v>21</v>
      </c>
      <c r="F236" s="22"/>
      <c r="G236" s="146" t="s">
        <v>22</v>
      </c>
      <c r="H236" s="173" t="n">
        <v>2</v>
      </c>
      <c r="I236" s="148" t="n">
        <v>1</v>
      </c>
      <c r="J236" s="148" t="n">
        <v>1</v>
      </c>
      <c r="K236" s="149" t="n">
        <v>436.1</v>
      </c>
      <c r="L236" s="149" t="n">
        <f aca="false">M236+N236</f>
        <v>436.1</v>
      </c>
      <c r="M236" s="149" t="n">
        <v>436.1</v>
      </c>
      <c r="N236" s="198"/>
      <c r="O236" s="151" t="n">
        <v>1</v>
      </c>
      <c r="P236" s="149" t="n">
        <v>13232.99</v>
      </c>
      <c r="Q236" s="149" t="n">
        <f aca="false">R236+S236</f>
        <v>13232.99</v>
      </c>
      <c r="R236" s="149" t="n">
        <v>13232.99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248</v>
      </c>
      <c r="G237" s="152" t="s">
        <v>23</v>
      </c>
      <c r="H237" s="171" t="n">
        <v>2</v>
      </c>
      <c r="I237" s="154"/>
      <c r="J237" s="154"/>
      <c r="K237" s="155"/>
      <c r="L237" s="155" t="n">
        <f aca="false">M237+N237</f>
        <v>0</v>
      </c>
      <c r="M237" s="155"/>
      <c r="N237" s="156"/>
      <c r="O237" s="157" t="n">
        <v>1</v>
      </c>
      <c r="P237" s="155" t="n">
        <v>572.65</v>
      </c>
      <c r="Q237" s="155" t="n">
        <v>572.65</v>
      </c>
      <c r="R237" s="155" t="n">
        <v>572.65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99"/>
      <c r="B238" s="100" t="s">
        <v>149</v>
      </c>
      <c r="C238" s="100"/>
      <c r="D238" s="100"/>
      <c r="E238" s="100"/>
      <c r="F238" s="100"/>
      <c r="G238" s="212"/>
      <c r="H238" s="213" t="n">
        <f aca="false">SUM(H9:H237)</f>
        <v>1507</v>
      </c>
      <c r="I238" s="214" t="n">
        <f aca="false">SUM(I9:I237)</f>
        <v>842</v>
      </c>
      <c r="J238" s="214" t="n">
        <f aca="false">SUM(J9:J237)</f>
        <v>949</v>
      </c>
      <c r="K238" s="215" t="n">
        <f aca="false">SUM(K9:K237)</f>
        <v>1401523.28</v>
      </c>
      <c r="L238" s="215" t="n">
        <f aca="false">SUM(L9:L237)</f>
        <v>859744.79</v>
      </c>
      <c r="M238" s="215" t="n">
        <f aca="false">SUM(M9:M237)</f>
        <v>680363.47</v>
      </c>
      <c r="N238" s="243" t="n">
        <f aca="false">SUM(N9:N237)</f>
        <v>188052.23</v>
      </c>
      <c r="O238" s="244" t="n">
        <f aca="false">SUM(O9:O237)</f>
        <v>910</v>
      </c>
      <c r="P238" s="245" t="n">
        <f aca="false">SUM(P9:P237)</f>
        <v>2798224.52</v>
      </c>
      <c r="Q238" s="245" t="n">
        <f aca="false">SUM(Q9:Q237)</f>
        <v>2191853.42</v>
      </c>
      <c r="R238" s="245" t="n">
        <f aca="false">SUM(R9:R237)</f>
        <v>1878989.43</v>
      </c>
      <c r="S238" s="246" t="n">
        <f aca="false">SUM(S9:S237)</f>
        <v>331540.69</v>
      </c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 t="s">
        <v>290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2"/>
      <c r="B242" s="2"/>
      <c r="C242" s="2"/>
      <c r="D242" s="2"/>
      <c r="E242" s="2"/>
      <c r="F242" s="103"/>
      <c r="G242" s="104" t="s">
        <v>5</v>
      </c>
      <c r="H242" s="104"/>
      <c r="I242" s="104"/>
      <c r="J242" s="104"/>
      <c r="K242" s="104"/>
      <c r="L242" s="104"/>
      <c r="M242" s="104"/>
      <c r="N242" s="104" t="s">
        <v>6</v>
      </c>
      <c r="O242" s="104"/>
      <c r="P242" s="104"/>
      <c r="Q242" s="104"/>
      <c r="R242" s="104"/>
      <c r="S242" s="105" t="s">
        <v>150</v>
      </c>
      <c r="T242" s="105" t="s">
        <v>253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103"/>
      <c r="G243" s="106" t="s">
        <v>13</v>
      </c>
      <c r="H243" s="106" t="s">
        <v>14</v>
      </c>
      <c r="I243" s="106" t="s">
        <v>15</v>
      </c>
      <c r="J243" s="106" t="s">
        <v>226</v>
      </c>
      <c r="K243" s="106" t="s">
        <v>16</v>
      </c>
      <c r="L243" s="106" t="s">
        <v>17</v>
      </c>
      <c r="M243" s="106" t="s">
        <v>18</v>
      </c>
      <c r="N243" s="106" t="s">
        <v>15</v>
      </c>
      <c r="O243" s="106" t="s">
        <v>226</v>
      </c>
      <c r="P243" s="106" t="s">
        <v>16</v>
      </c>
      <c r="Q243" s="106" t="s">
        <v>17</v>
      </c>
      <c r="R243" s="106" t="s">
        <v>18</v>
      </c>
      <c r="S243" s="105"/>
      <c r="T243" s="105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107" t="s">
        <v>22</v>
      </c>
      <c r="G244" s="108" t="n">
        <f aca="false">SUMIF($G$9:$G$237,$F$244,H9:H237)</f>
        <v>979</v>
      </c>
      <c r="H244" s="108" t="n">
        <f aca="false">SUMIF($G$9:$G$237,$F$244,I9:I237)</f>
        <v>665</v>
      </c>
      <c r="I244" s="108" t="n">
        <f aca="false">SUMIF($G$9:$G$237,$F$244,J9:J237)</f>
        <v>767</v>
      </c>
      <c r="J244" s="110" t="n">
        <f aca="false">SUMIF($G$9:$G$237,F244,$K$9:$K$237)</f>
        <v>1114389.73</v>
      </c>
      <c r="K244" s="110" t="n">
        <f aca="false">SUMIF($G$9:$G$237,$F$244,L9:L237)</f>
        <v>738741.92</v>
      </c>
      <c r="L244" s="110" t="n">
        <f aca="false">SUMIF($G$9:$G$237,$F$244,M9:M237)</f>
        <v>578194.11</v>
      </c>
      <c r="M244" s="110" t="n">
        <f aca="false">SUMIF($G$9:$G$237,$F$244,N9:N237)</f>
        <v>160547.81</v>
      </c>
      <c r="N244" s="108" t="n">
        <f aca="false">SUMIF($G$9:$G$237,$F$244,O9:O237)</f>
        <v>616</v>
      </c>
      <c r="O244" s="110" t="n">
        <f aca="false">SUMIF($G$9:$G$237,F244,$P$9:$P$237)</f>
        <v>2139505.45</v>
      </c>
      <c r="P244" s="110" t="n">
        <f aca="false">SUMIF($G$9:$G$237,$F$244,Q9:Q237)</f>
        <v>1683538.96</v>
      </c>
      <c r="Q244" s="110" t="n">
        <f aca="false">SUMIF($G$9:$G$237,$F$244,R9:R237)</f>
        <v>1400258.79</v>
      </c>
      <c r="R244" s="110" t="n">
        <f aca="false">SUMIF($G$9:$G$237,$F$244,S9:S237)</f>
        <v>283280.17</v>
      </c>
      <c r="S244" s="110" t="n">
        <f aca="false">Q244+L244</f>
        <v>1978452.9</v>
      </c>
      <c r="T244" s="111" t="n">
        <f aca="false">J244-L244+O244-Q244</f>
        <v>1275442.28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107" t="s">
        <v>26</v>
      </c>
      <c r="G245" s="108" t="n">
        <f aca="false">SUMIF($G$9:$G$237,$F$245,H9:H237)</f>
        <v>328</v>
      </c>
      <c r="H245" s="108" t="n">
        <v>20</v>
      </c>
      <c r="I245" s="108" t="n">
        <f aca="false">SUMIF($G$9:$G$237,$F$245,J9:J237)</f>
        <v>98</v>
      </c>
      <c r="J245" s="110" t="n">
        <f aca="false">SUMIF($G$9:$G$237,F245,$K$9:$K$237)</f>
        <v>186048.34</v>
      </c>
      <c r="K245" s="110" t="n">
        <f aca="false">SUMIF($G$9:$G$237,$F$245,L9:L237)</f>
        <v>85164.74</v>
      </c>
      <c r="L245" s="110" t="n">
        <f aca="false">SUMIF($G$9:$G$237,$F$245,M9:M237)</f>
        <v>67036.03</v>
      </c>
      <c r="M245" s="110" t="n">
        <f aca="false">SUMIF($G$9:$G$237,$F$245,N9:N237)</f>
        <v>18128.71</v>
      </c>
      <c r="N245" s="108" t="n">
        <f aca="false">SUMIF($G$9:$G$237,$F$245,O9:O237)</f>
        <v>197</v>
      </c>
      <c r="O245" s="110" t="n">
        <f aca="false">SUMIF($G$9:$G$237,F245,$P$9:$P$237)</f>
        <v>450001.6</v>
      </c>
      <c r="P245" s="110" t="n">
        <f aca="false">SUMIF($G$9:$G$237,$F$245,Q9:Q237)</f>
        <v>388447.79</v>
      </c>
      <c r="Q245" s="110" t="n">
        <f aca="false">SUMIF($G$9:$G$237,$F$245,R9:R237)</f>
        <v>358863.97</v>
      </c>
      <c r="R245" s="110" t="n">
        <f aca="false">SUMIF($G$9:$G$237,$F$245,S9:S237)</f>
        <v>29583.82</v>
      </c>
      <c r="S245" s="110" t="n">
        <f aca="false">Q245+L245</f>
        <v>425900</v>
      </c>
      <c r="T245" s="111" t="n">
        <f aca="false">J245-L245+O245-Q245</f>
        <v>210149.94</v>
      </c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107" t="s">
        <v>23</v>
      </c>
      <c r="G246" s="108" t="n">
        <f aca="false">SUMIF($G$9:$G$237,$F$246,H9:H237)</f>
        <v>200</v>
      </c>
      <c r="H246" s="108" t="n">
        <f aca="false">SUMIF($G$9:$G$237,$F$246,I9:I237)</f>
        <v>84</v>
      </c>
      <c r="I246" s="108" t="n">
        <f aca="false">SUMIF($G$9:$G$237,$F$246,J9:J237)</f>
        <v>84</v>
      </c>
      <c r="J246" s="110" t="n">
        <f aca="false">SUMIF($G$9:$G$237,F246,$K$9:$K$237)</f>
        <v>101085.21</v>
      </c>
      <c r="K246" s="110" t="n">
        <f aca="false">SUMIF($G$9:$G$237,$F$246,L9:L237)</f>
        <v>35838.13</v>
      </c>
      <c r="L246" s="110" t="n">
        <f aca="false">SUMIF($G$9:$G$237,$F$246,M9:M237)</f>
        <v>35133.33</v>
      </c>
      <c r="M246" s="110" t="n">
        <f aca="false">SUMIF($G$9:$G$237,$F$246,N9:N237)</f>
        <v>9375.71</v>
      </c>
      <c r="N246" s="108" t="n">
        <f aca="false">SUMIF($G$9:$G$237,$F$246,O9:O237)</f>
        <v>97</v>
      </c>
      <c r="O246" s="110" t="n">
        <f aca="false">SUMIF($G$9:$G$237,F246,$P$9:$P$237)</f>
        <v>208717.47</v>
      </c>
      <c r="P246" s="110" t="n">
        <f aca="false">SUMIF($G$9:$G$237,$F$246,Q9:Q237)</f>
        <v>119866.67</v>
      </c>
      <c r="Q246" s="110" t="n">
        <f aca="false">SUMIF($G$9:$G$237,$F$246,R9:R237)</f>
        <v>119866.67</v>
      </c>
      <c r="R246" s="110" t="n">
        <f aca="false">SUMIF($G$9:$G$237,$F$246,S9:S237)</f>
        <v>18676.7</v>
      </c>
      <c r="S246" s="110" t="n">
        <f aca="false">Q246+L246</f>
        <v>155000</v>
      </c>
      <c r="T246" s="111" t="n">
        <f aca="false">J246-L246+O246-Q246</f>
        <v>154802.68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16" t="n">
        <f aca="false">G246+G245+G244</f>
        <v>1507</v>
      </c>
      <c r="H247" s="216" t="n">
        <f aca="false">H246+H245+H244</f>
        <v>769</v>
      </c>
      <c r="I247" s="216" t="n">
        <f aca="false">I246+I245+I244</f>
        <v>949</v>
      </c>
      <c r="J247" s="217" t="n">
        <f aca="false">J246+J245+J244</f>
        <v>1401523.28</v>
      </c>
      <c r="K247" s="217" t="n">
        <f aca="false">K246+K245+K244</f>
        <v>859744.79</v>
      </c>
      <c r="L247" s="217" t="n">
        <f aca="false">L246+L245+L244</f>
        <v>680363.47</v>
      </c>
      <c r="M247" s="217" t="n">
        <f aca="false">M246+M245+M244</f>
        <v>188052.23</v>
      </c>
      <c r="N247" s="216" t="n">
        <f aca="false">N246+N245+N244</f>
        <v>910</v>
      </c>
      <c r="O247" s="217" t="n">
        <f aca="false">O246+O245+O244</f>
        <v>2798224.52</v>
      </c>
      <c r="P247" s="217" t="n">
        <f aca="false">P246+P245+P244</f>
        <v>2191853.42</v>
      </c>
      <c r="Q247" s="217" t="n">
        <f aca="false">Q246+Q245+Q244</f>
        <v>1878989.43</v>
      </c>
      <c r="R247" s="217" t="n">
        <f aca="false">R246+R245+R244</f>
        <v>331540.69</v>
      </c>
      <c r="S247" s="217" t="n">
        <f aca="false">S246+S245+S244</f>
        <v>2559352.9</v>
      </c>
      <c r="T247" s="217" t="n">
        <f aca="false">T246+T245+T244</f>
        <v>1640394.9</v>
      </c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F308" s="0" t="s">
        <v>22</v>
      </c>
      <c r="G308" s="0" t="n">
        <v>855</v>
      </c>
      <c r="H308" s="247" t="n">
        <v>470</v>
      </c>
      <c r="I308" s="247" t="n">
        <v>533</v>
      </c>
      <c r="J308" s="0" t="n">
        <v>698634.28</v>
      </c>
      <c r="K308" s="236" t="n">
        <v>578741.37</v>
      </c>
      <c r="L308" s="0" t="n">
        <v>208301.67</v>
      </c>
      <c r="M308" s="0" t="n">
        <v>370439.7</v>
      </c>
      <c r="N308" s="0" t="n">
        <v>549</v>
      </c>
      <c r="O308" s="0" t="n">
        <v>1707859.19</v>
      </c>
      <c r="P308" s="0" t="n">
        <v>1387209.08</v>
      </c>
      <c r="Q308" s="0" t="n">
        <v>868523.33</v>
      </c>
      <c r="R308" s="0" t="n">
        <v>518685.75</v>
      </c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</sheetData>
  <mergeCells count="56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4"/>
    <mergeCell ref="B122:B124"/>
    <mergeCell ref="C122:C124"/>
    <mergeCell ref="D122:D124"/>
    <mergeCell ref="E122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5"/>
    <mergeCell ref="B133:B135"/>
    <mergeCell ref="C133:C135"/>
    <mergeCell ref="D133:D135"/>
    <mergeCell ref="E133:E135"/>
    <mergeCell ref="A136:A137"/>
    <mergeCell ref="B136:B137"/>
    <mergeCell ref="C136:C137"/>
    <mergeCell ref="D136:D137"/>
    <mergeCell ref="E136:E137"/>
    <mergeCell ref="A138:A140"/>
    <mergeCell ref="B138:B140"/>
    <mergeCell ref="C138:C140"/>
    <mergeCell ref="D138:D140"/>
    <mergeCell ref="E138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3"/>
    <mergeCell ref="B171:B173"/>
    <mergeCell ref="C171:C173"/>
    <mergeCell ref="D171:D173"/>
    <mergeCell ref="E171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B180:B181"/>
    <mergeCell ref="D180:D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F242:F243"/>
    <mergeCell ref="G242:M242"/>
    <mergeCell ref="N242:R242"/>
    <mergeCell ref="S242:S243"/>
    <mergeCell ref="T242:T24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6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11</v>
      </c>
      <c r="P9" s="149" t="n">
        <v>28887.49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19</v>
      </c>
      <c r="I11" s="160" t="n">
        <v>11</v>
      </c>
      <c r="J11" s="160" t="n">
        <v>18</v>
      </c>
      <c r="K11" s="161" t="n">
        <v>28456.91</v>
      </c>
      <c r="L11" s="161" t="n">
        <f aca="false">M11+N11</f>
        <v>28456.91</v>
      </c>
      <c r="M11" s="161" t="n">
        <v>28456.91</v>
      </c>
      <c r="N11" s="239"/>
      <c r="O11" s="151" t="n">
        <v>7</v>
      </c>
      <c r="P11" s="149" t="n">
        <v>30607.11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24</v>
      </c>
      <c r="I13" s="148" t="n">
        <v>18</v>
      </c>
      <c r="J13" s="148" t="n">
        <v>25</v>
      </c>
      <c r="K13" s="149" t="n">
        <v>27499.9</v>
      </c>
      <c r="L13" s="149" t="n">
        <f aca="false">M13+N13</f>
        <v>26104.4</v>
      </c>
      <c r="M13" s="149" t="n">
        <v>26104.4</v>
      </c>
      <c r="N13" s="249"/>
      <c r="O13" s="228" t="n">
        <v>4</v>
      </c>
      <c r="P13" s="161" t="n">
        <v>12388.39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4</v>
      </c>
      <c r="J14" s="154" t="n">
        <v>4</v>
      </c>
      <c r="K14" s="155" t="n">
        <v>7576.6</v>
      </c>
      <c r="L14" s="155" t="n">
        <f aca="false">M14+N14</f>
        <v>1938.2</v>
      </c>
      <c r="M14" s="155" t="n">
        <f aca="false">1938.2</f>
        <v>1938.2</v>
      </c>
      <c r="N14" s="156"/>
      <c r="O14" s="209" t="n">
        <v>7</v>
      </c>
      <c r="P14" s="155" t="n">
        <v>11273.8</v>
      </c>
      <c r="Q14" s="155" t="n">
        <f aca="false">R14+S14</f>
        <v>10916.3</v>
      </c>
      <c r="R14" s="155" t="n">
        <f aca="false">1585.8+2106.3+5109.8+2114.4</f>
        <v>10916.3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2643</v>
      </c>
      <c r="M16" s="166"/>
      <c r="N16" s="156" t="n">
        <f aca="false">2643</f>
        <v>2643</v>
      </c>
      <c r="O16" s="168" t="n">
        <v>4</v>
      </c>
      <c r="P16" s="166" t="n">
        <v>19515.9</v>
      </c>
      <c r="Q16" s="166" t="n">
        <f aca="false">R16+S16</f>
        <v>12510.2</v>
      </c>
      <c r="R16" s="166" t="n">
        <f aca="false">10924.4</f>
        <v>10924.4</v>
      </c>
      <c r="S16" s="167" t="n">
        <f aca="false">1585.8</f>
        <v>1585.8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 t="n">
        <v>1</v>
      </c>
      <c r="J17" s="148" t="n">
        <v>1</v>
      </c>
      <c r="K17" s="149" t="n">
        <v>528.6</v>
      </c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5</v>
      </c>
      <c r="I18" s="154" t="n">
        <v>2</v>
      </c>
      <c r="J18" s="154" t="n">
        <v>2</v>
      </c>
      <c r="K18" s="155" t="n">
        <v>1389.4</v>
      </c>
      <c r="L18" s="155" t="n">
        <f aca="false">M18+N18</f>
        <v>704.8</v>
      </c>
      <c r="M18" s="155" t="n">
        <f aca="false">704.8</f>
        <v>704.8</v>
      </c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17</v>
      </c>
      <c r="I19" s="160" t="n">
        <v>9</v>
      </c>
      <c r="J19" s="160" t="n">
        <v>10</v>
      </c>
      <c r="K19" s="161" t="n">
        <v>13377.14</v>
      </c>
      <c r="L19" s="161" t="n">
        <f aca="false">M19+N19</f>
        <v>13377.14</v>
      </c>
      <c r="M19" s="161" t="n">
        <v>4012.08</v>
      </c>
      <c r="N19" s="190" t="n">
        <v>9365.06</v>
      </c>
      <c r="O19" s="163" t="n">
        <v>17</v>
      </c>
      <c r="P19" s="161" t="n">
        <v>36873.8</v>
      </c>
      <c r="Q19" s="161" t="n">
        <f aca="false">R19+S19</f>
        <v>36873.8</v>
      </c>
      <c r="R19" s="161" t="n">
        <v>17766.28</v>
      </c>
      <c r="S19" s="190" t="n">
        <v>19107.52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3</v>
      </c>
      <c r="I20" s="154" t="n">
        <v>1</v>
      </c>
      <c r="J20" s="154" t="n">
        <v>1</v>
      </c>
      <c r="K20" s="155" t="n">
        <v>1762</v>
      </c>
      <c r="L20" s="155" t="n">
        <f aca="false">M20+N20</f>
        <v>0</v>
      </c>
      <c r="M20" s="155"/>
      <c r="N20" s="156"/>
      <c r="O20" s="157" t="n">
        <v>3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23</v>
      </c>
      <c r="I21" s="160" t="n">
        <v>16</v>
      </c>
      <c r="J21" s="160" t="n">
        <v>25</v>
      </c>
      <c r="K21" s="161" t="n">
        <v>32028.74</v>
      </c>
      <c r="L21" s="161" t="n">
        <f aca="false">M21+N21</f>
        <v>24311.18</v>
      </c>
      <c r="M21" s="161" t="n">
        <v>24311.18</v>
      </c>
      <c r="N21" s="190"/>
      <c r="O21" s="151" t="n">
        <v>19</v>
      </c>
      <c r="P21" s="149" t="n">
        <v>39260.1</v>
      </c>
      <c r="Q21" s="149" t="n">
        <f aca="false">R21+S21</f>
        <v>27767.21</v>
      </c>
      <c r="R21" s="149" t="n">
        <v>27767.21</v>
      </c>
      <c r="S21" s="198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4</v>
      </c>
      <c r="P22" s="155" t="n">
        <v>5462.2</v>
      </c>
      <c r="Q22" s="155" t="n">
        <v>704.8</v>
      </c>
      <c r="R22" s="155" t="n">
        <v>704.8</v>
      </c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16</v>
      </c>
      <c r="I23" s="148" t="n">
        <v>13</v>
      </c>
      <c r="J23" s="148" t="n">
        <v>13</v>
      </c>
      <c r="K23" s="148" t="n">
        <v>4140.7</v>
      </c>
      <c r="L23" s="149" t="n">
        <f aca="false">M23+N23</f>
        <v>4140.7</v>
      </c>
      <c r="M23" s="149" t="n">
        <v>4140.7</v>
      </c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 t="n">
        <v>4</v>
      </c>
      <c r="I24" s="154"/>
      <c r="J24" s="154"/>
      <c r="K24" s="155"/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22</v>
      </c>
      <c r="I25" s="160" t="n">
        <v>21</v>
      </c>
      <c r="J25" s="160" t="n">
        <v>29</v>
      </c>
      <c r="K25" s="161" t="n">
        <v>42136.5</v>
      </c>
      <c r="L25" s="161" t="n">
        <f aca="false">M25+N25</f>
        <v>33328.26</v>
      </c>
      <c r="M25" s="161" t="n">
        <v>33328.26</v>
      </c>
      <c r="N25" s="190"/>
      <c r="O25" s="151" t="n">
        <v>8</v>
      </c>
      <c r="P25" s="149" t="n">
        <v>21503.23</v>
      </c>
      <c r="Q25" s="149" t="n">
        <f aca="false">R25+S25</f>
        <v>10769.07</v>
      </c>
      <c r="R25" s="149" t="n">
        <v>10769.07</v>
      </c>
      <c r="S25" s="198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4</v>
      </c>
      <c r="I26" s="165" t="n">
        <v>2</v>
      </c>
      <c r="J26" s="165" t="n">
        <v>2</v>
      </c>
      <c r="K26" s="166" t="n">
        <v>1409.6</v>
      </c>
      <c r="L26" s="166" t="n">
        <f aca="false">M26+N26</f>
        <v>1409.6</v>
      </c>
      <c r="M26" s="166"/>
      <c r="N26" s="156" t="n">
        <v>1409.6</v>
      </c>
      <c r="O26" s="157" t="n">
        <v>10</v>
      </c>
      <c r="P26" s="155" t="n">
        <v>19558.2</v>
      </c>
      <c r="Q26" s="155" t="n">
        <f aca="false">R26+S26</f>
        <v>17267.6</v>
      </c>
      <c r="R26" s="155" t="n">
        <f aca="false">2995.4+14272.2</f>
        <v>17267.6</v>
      </c>
      <c r="S26" s="156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0</v>
      </c>
      <c r="M27" s="149"/>
      <c r="N27" s="190"/>
      <c r="O27" s="151" t="n">
        <v>3</v>
      </c>
      <c r="P27" s="149" t="n">
        <v>6373.62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4052.6</v>
      </c>
      <c r="M28" s="166" t="n">
        <f aca="false">4052.6</f>
        <v>4052.6</v>
      </c>
      <c r="N28" s="167"/>
      <c r="O28" s="168" t="n">
        <v>6</v>
      </c>
      <c r="P28" s="166" t="n">
        <v>19381.4</v>
      </c>
      <c r="Q28" s="166" t="n">
        <f aca="false">R28+S28</f>
        <v>17267.7</v>
      </c>
      <c r="R28" s="166" t="n">
        <f aca="false">5286+2290.6-23.95+9715.05</f>
        <v>17267.7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291</v>
      </c>
      <c r="C29" s="19"/>
      <c r="D29" s="19"/>
      <c r="E29" s="19"/>
      <c r="F29" s="20"/>
      <c r="G29" s="146" t="s">
        <v>22</v>
      </c>
      <c r="H29" s="147"/>
      <c r="I29" s="148"/>
      <c r="J29" s="148"/>
      <c r="K29" s="149"/>
      <c r="L29" s="149" t="n">
        <f aca="false">M29+N29</f>
        <v>0</v>
      </c>
      <c r="M29" s="149"/>
      <c r="N29" s="150"/>
      <c r="O29" s="206" t="n">
        <v>1</v>
      </c>
      <c r="P29" s="149" t="n">
        <v>36290.52</v>
      </c>
      <c r="Q29" s="149" t="n">
        <v>36290.52</v>
      </c>
      <c r="R29" s="149" t="n">
        <v>36290.52</v>
      </c>
      <c r="S29" s="15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57"/>
      <c r="G30" s="152" t="s">
        <v>26</v>
      </c>
      <c r="H30" s="176"/>
      <c r="I30" s="154"/>
      <c r="J30" s="154"/>
      <c r="K30" s="155"/>
      <c r="L30" s="155" t="n">
        <f aca="false">M30+N30</f>
        <v>0</v>
      </c>
      <c r="M30" s="155"/>
      <c r="N30" s="156"/>
      <c r="O30" s="209"/>
      <c r="P30" s="155"/>
      <c r="Q30" s="155" t="n">
        <v>0</v>
      </c>
      <c r="R30" s="155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54"/>
      <c r="B31" s="55" t="s">
        <v>153</v>
      </c>
      <c r="C31" s="56" t="s">
        <v>20</v>
      </c>
      <c r="D31" s="56"/>
      <c r="E31" s="56" t="s">
        <v>278</v>
      </c>
      <c r="F31" s="36"/>
      <c r="G31" s="158" t="s">
        <v>22</v>
      </c>
      <c r="H31" s="169" t="n">
        <v>7</v>
      </c>
      <c r="I31" s="160" t="n">
        <v>1</v>
      </c>
      <c r="J31" s="160" t="n">
        <v>1</v>
      </c>
      <c r="K31" s="161" t="n">
        <v>1691.52</v>
      </c>
      <c r="L31" s="161" t="n">
        <f aca="false">M31+N31</f>
        <v>0</v>
      </c>
      <c r="M31" s="161"/>
      <c r="N31" s="190"/>
      <c r="O31" s="163"/>
      <c r="P31" s="161"/>
      <c r="Q31" s="161" t="n">
        <f aca="false">R31+S31</f>
        <v>0</v>
      </c>
      <c r="R31" s="161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54"/>
      <c r="B32" s="55"/>
      <c r="C32" s="55"/>
      <c r="D32" s="55"/>
      <c r="E32" s="55"/>
      <c r="F32" s="42" t="s">
        <v>231</v>
      </c>
      <c r="G32" s="164" t="s">
        <v>23</v>
      </c>
      <c r="H32" s="178" t="n">
        <v>11</v>
      </c>
      <c r="I32" s="165" t="n">
        <v>1</v>
      </c>
      <c r="J32" s="165" t="n">
        <v>1</v>
      </c>
      <c r="K32" s="166" t="n">
        <v>2114.4</v>
      </c>
      <c r="L32" s="166" t="n">
        <f aca="false">M32+N32</f>
        <v>0</v>
      </c>
      <c r="M32" s="166"/>
      <c r="N32" s="167"/>
      <c r="O32" s="168"/>
      <c r="P32" s="166"/>
      <c r="Q32" s="166" t="n">
        <f aca="false">R32+S32</f>
        <v>0</v>
      </c>
      <c r="R32" s="166"/>
      <c r="S32" s="167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17"/>
      <c r="B33" s="55" t="s">
        <v>292</v>
      </c>
      <c r="C33" s="19"/>
      <c r="D33" s="19"/>
      <c r="E33" s="19"/>
      <c r="F33" s="20"/>
      <c r="G33" s="146" t="s">
        <v>22</v>
      </c>
      <c r="H33" s="147" t="n">
        <v>1</v>
      </c>
      <c r="I33" s="148"/>
      <c r="J33" s="148"/>
      <c r="K33" s="149"/>
      <c r="L33" s="149" t="n">
        <f aca="false">M33+N33</f>
        <v>0</v>
      </c>
      <c r="M33" s="149"/>
      <c r="N33" s="150"/>
      <c r="O33" s="206"/>
      <c r="P33" s="149"/>
      <c r="Q33" s="149" t="n">
        <v>0</v>
      </c>
      <c r="R33" s="149"/>
      <c r="S33" s="15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17"/>
      <c r="B34" s="55"/>
      <c r="C34" s="55"/>
      <c r="D34" s="55"/>
      <c r="E34" s="55"/>
      <c r="F34" s="57"/>
      <c r="G34" s="152" t="s">
        <v>26</v>
      </c>
      <c r="H34" s="176"/>
      <c r="I34" s="154"/>
      <c r="J34" s="154"/>
      <c r="K34" s="155"/>
      <c r="L34" s="155" t="n">
        <f aca="false">M34+N34</f>
        <v>0</v>
      </c>
      <c r="M34" s="155"/>
      <c r="N34" s="156"/>
      <c r="O34" s="209"/>
      <c r="P34" s="155"/>
      <c r="Q34" s="155" t="n"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54"/>
      <c r="B35" s="55" t="s">
        <v>232</v>
      </c>
      <c r="C35" s="56"/>
      <c r="D35" s="56"/>
      <c r="E35" s="56"/>
      <c r="F35" s="36"/>
      <c r="G35" s="158" t="s">
        <v>22</v>
      </c>
      <c r="H35" s="169" t="n">
        <v>11</v>
      </c>
      <c r="I35" s="160" t="n">
        <v>6</v>
      </c>
      <c r="J35" s="160" t="n">
        <v>7</v>
      </c>
      <c r="K35" s="161" t="n">
        <v>10655.7</v>
      </c>
      <c r="L35" s="161" t="n">
        <f aca="false">M35+N35</f>
        <v>881</v>
      </c>
      <c r="M35" s="161" t="n">
        <v>881</v>
      </c>
      <c r="N35" s="190"/>
      <c r="O35" s="228"/>
      <c r="P35" s="161"/>
      <c r="Q35" s="161" t="n">
        <f aca="false">R35+S35</f>
        <v>0</v>
      </c>
      <c r="R35" s="161"/>
      <c r="S35" s="19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54"/>
      <c r="B36" s="55"/>
      <c r="C36" s="55"/>
      <c r="D36" s="55"/>
      <c r="E36" s="55"/>
      <c r="F36" s="26" t="s">
        <v>265</v>
      </c>
      <c r="G36" s="152" t="s">
        <v>26</v>
      </c>
      <c r="H36" s="176" t="n">
        <v>6</v>
      </c>
      <c r="I36" s="154" t="n">
        <v>2</v>
      </c>
      <c r="J36" s="154" t="n">
        <v>2</v>
      </c>
      <c r="K36" s="155" t="n">
        <v>5109.8</v>
      </c>
      <c r="L36" s="155" t="n">
        <f aca="false">M36+N36</f>
        <v>704.8</v>
      </c>
      <c r="M36" s="155" t="n">
        <f aca="false">704.8</f>
        <v>704.8</v>
      </c>
      <c r="N36" s="156"/>
      <c r="O36" s="209"/>
      <c r="P36" s="155"/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40</v>
      </c>
      <c r="C37" s="56" t="s">
        <v>38</v>
      </c>
      <c r="D37" s="56" t="s">
        <v>41</v>
      </c>
      <c r="E37" s="56" t="s">
        <v>42</v>
      </c>
      <c r="F37" s="36"/>
      <c r="G37" s="158" t="s">
        <v>22</v>
      </c>
      <c r="H37" s="169"/>
      <c r="I37" s="160"/>
      <c r="J37" s="160"/>
      <c r="K37" s="161"/>
      <c r="L37" s="161" t="n">
        <f aca="false">M37+N37</f>
        <v>0</v>
      </c>
      <c r="M37" s="161"/>
      <c r="N37" s="190"/>
      <c r="O37" s="163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57"/>
      <c r="G38" s="152" t="s">
        <v>23</v>
      </c>
      <c r="H38" s="153"/>
      <c r="I38" s="154"/>
      <c r="J38" s="154"/>
      <c r="K38" s="155"/>
      <c r="L38" s="155" t="n">
        <f aca="false">M38+N38</f>
        <v>0</v>
      </c>
      <c r="M38" s="155"/>
      <c r="N38" s="156"/>
      <c r="O38" s="157"/>
      <c r="P38" s="155"/>
      <c r="Q38" s="155" t="n">
        <f aca="false">R38+S38</f>
        <v>0</v>
      </c>
      <c r="R38" s="155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54"/>
      <c r="B39" s="55" t="s">
        <v>43</v>
      </c>
      <c r="C39" s="56" t="s">
        <v>33</v>
      </c>
      <c r="D39" s="56" t="s">
        <v>44</v>
      </c>
      <c r="E39" s="56" t="s">
        <v>45</v>
      </c>
      <c r="F39" s="36"/>
      <c r="G39" s="146" t="s">
        <v>22</v>
      </c>
      <c r="H39" s="159" t="n">
        <v>13</v>
      </c>
      <c r="I39" s="160" t="n">
        <v>11</v>
      </c>
      <c r="J39" s="160" t="n">
        <v>11</v>
      </c>
      <c r="K39" s="161" t="n">
        <v>18145.63</v>
      </c>
      <c r="L39" s="161" t="n">
        <f aca="false">M39+N39</f>
        <v>9138.09</v>
      </c>
      <c r="M39" s="161" t="n">
        <v>9138.09</v>
      </c>
      <c r="N39" s="190"/>
      <c r="O39" s="151" t="n">
        <v>10</v>
      </c>
      <c r="P39" s="149" t="n">
        <v>39637.95</v>
      </c>
      <c r="Q39" s="149" t="n">
        <f aca="false">R39+S39</f>
        <v>39637.95</v>
      </c>
      <c r="R39" s="149" t="n">
        <v>39637.95</v>
      </c>
      <c r="S39" s="198"/>
      <c r="T39" s="2"/>
      <c r="U39" s="70"/>
      <c r="V39" s="70"/>
      <c r="W39" s="70"/>
      <c r="X39" s="70"/>
      <c r="Y39" s="70"/>
      <c r="Z39" s="70"/>
      <c r="AA39" s="70"/>
      <c r="AB39" s="70"/>
      <c r="AC39" s="70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26" t="s">
        <v>165</v>
      </c>
      <c r="G40" s="152" t="s">
        <v>26</v>
      </c>
      <c r="H40" s="153" t="n">
        <v>3</v>
      </c>
      <c r="I40" s="154" t="n">
        <v>2</v>
      </c>
      <c r="J40" s="154" t="n">
        <v>2</v>
      </c>
      <c r="K40" s="155" t="n">
        <v>4933.6</v>
      </c>
      <c r="L40" s="155" t="n">
        <f aca="false">M40+N40</f>
        <v>3700.2</v>
      </c>
      <c r="M40" s="155"/>
      <c r="N40" s="156" t="n">
        <f aca="false">3700.2</f>
        <v>3700.2</v>
      </c>
      <c r="O40" s="157" t="n">
        <v>5</v>
      </c>
      <c r="P40" s="155" t="n">
        <v>13567.4</v>
      </c>
      <c r="Q40" s="155" t="n">
        <f aca="false">R40+S40</f>
        <v>11453</v>
      </c>
      <c r="R40" s="155" t="n">
        <f aca="false">53.85+11399.15</f>
        <v>11453</v>
      </c>
      <c r="S40" s="156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" hidden="false" customHeight="true" outlineLevel="0" collapsed="false">
      <c r="A41" s="33"/>
      <c r="B41" s="34" t="s">
        <v>46</v>
      </c>
      <c r="C41" s="35" t="s">
        <v>20</v>
      </c>
      <c r="D41" s="35"/>
      <c r="E41" s="35" t="s">
        <v>25</v>
      </c>
      <c r="F41" s="36"/>
      <c r="G41" s="146" t="s">
        <v>22</v>
      </c>
      <c r="H41" s="159" t="n">
        <v>11</v>
      </c>
      <c r="I41" s="160" t="n">
        <v>10</v>
      </c>
      <c r="J41" s="160" t="n">
        <v>12</v>
      </c>
      <c r="K41" s="161" t="n">
        <v>27872.38</v>
      </c>
      <c r="L41" s="161" t="n">
        <f aca="false">M41+N41</f>
        <v>19151.8</v>
      </c>
      <c r="M41" s="161" t="n">
        <v>19151.8</v>
      </c>
      <c r="N41" s="190"/>
      <c r="O41" s="151" t="n">
        <v>15</v>
      </c>
      <c r="P41" s="149" t="n">
        <v>55419.47</v>
      </c>
      <c r="Q41" s="149" t="n">
        <f aca="false">R41+S41</f>
        <v>54101.49</v>
      </c>
      <c r="R41" s="149" t="n">
        <v>54101.49</v>
      </c>
      <c r="S41" s="198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164" t="s">
        <v>26</v>
      </c>
      <c r="H42" s="153"/>
      <c r="I42" s="165"/>
      <c r="J42" s="165"/>
      <c r="K42" s="166"/>
      <c r="L42" s="166" t="n">
        <f aca="false">M42+N42</f>
        <v>0</v>
      </c>
      <c r="M42" s="166"/>
      <c r="N42" s="156"/>
      <c r="O42" s="157"/>
      <c r="P42" s="155"/>
      <c r="Q42" s="155" t="n">
        <f aca="false">R42+S42</f>
        <v>0</v>
      </c>
      <c r="R42" s="155"/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.75" hidden="false" customHeight="true" outlineLevel="0" collapsed="false">
      <c r="A43" s="72"/>
      <c r="B43" s="73" t="s">
        <v>47</v>
      </c>
      <c r="C43" s="74" t="s">
        <v>20</v>
      </c>
      <c r="D43" s="74" t="s">
        <v>166</v>
      </c>
      <c r="E43" s="75" t="s">
        <v>25</v>
      </c>
      <c r="F43" s="22"/>
      <c r="G43" s="146" t="s">
        <v>22</v>
      </c>
      <c r="H43" s="159" t="n">
        <v>7</v>
      </c>
      <c r="I43" s="148" t="n">
        <v>5</v>
      </c>
      <c r="J43" s="148" t="n">
        <v>5</v>
      </c>
      <c r="K43" s="149" t="n">
        <v>2119.69</v>
      </c>
      <c r="L43" s="149" t="n">
        <f aca="false">M43+N43</f>
        <v>2119.69</v>
      </c>
      <c r="M43" s="149" t="n">
        <v>2119.69</v>
      </c>
      <c r="N43" s="190"/>
      <c r="O43" s="151"/>
      <c r="P43" s="149"/>
      <c r="Q43" s="149" t="n">
        <f aca="false">R43+S43</f>
        <v>0</v>
      </c>
      <c r="R43" s="149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72"/>
      <c r="B44" s="73"/>
      <c r="C44" s="73"/>
      <c r="D44" s="73"/>
      <c r="E44" s="75"/>
      <c r="F44" s="42" t="s">
        <v>167</v>
      </c>
      <c r="G44" s="164" t="s">
        <v>26</v>
      </c>
      <c r="H44" s="172" t="n">
        <v>5</v>
      </c>
      <c r="I44" s="165"/>
      <c r="J44" s="165"/>
      <c r="K44" s="166"/>
      <c r="L44" s="166" t="n">
        <f aca="false">M44+N44</f>
        <v>0</v>
      </c>
      <c r="M44" s="166"/>
      <c r="N44" s="156"/>
      <c r="O44" s="168" t="n">
        <v>3</v>
      </c>
      <c r="P44" s="166" t="n">
        <v>13945.3</v>
      </c>
      <c r="Q44" s="166" t="n">
        <f aca="false">R44+S44</f>
        <v>10849.9</v>
      </c>
      <c r="R44" s="166" t="n">
        <f aca="false">10849.9</f>
        <v>10849.9</v>
      </c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17"/>
      <c r="B45" s="18" t="s">
        <v>48</v>
      </c>
      <c r="C45" s="19" t="s">
        <v>20</v>
      </c>
      <c r="D45" s="19" t="s">
        <v>168</v>
      </c>
      <c r="E45" s="19" t="s">
        <v>25</v>
      </c>
      <c r="F45" s="20"/>
      <c r="G45" s="146" t="s">
        <v>22</v>
      </c>
      <c r="H45" s="147" t="n">
        <v>2</v>
      </c>
      <c r="I45" s="148" t="n">
        <v>1</v>
      </c>
      <c r="J45" s="148" t="n">
        <v>1</v>
      </c>
      <c r="K45" s="149" t="n">
        <v>352.4</v>
      </c>
      <c r="L45" s="149" t="n">
        <f aca="false">M45+N45</f>
        <v>0</v>
      </c>
      <c r="M45" s="149"/>
      <c r="N45" s="190"/>
      <c r="O45" s="151" t="n">
        <v>4</v>
      </c>
      <c r="P45" s="149" t="n">
        <v>12699.01</v>
      </c>
      <c r="Q45" s="149" t="n">
        <f aca="false">R45+S45</f>
        <v>12699.01</v>
      </c>
      <c r="R45" s="149" t="n">
        <v>12699.01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17"/>
      <c r="B46" s="18"/>
      <c r="C46" s="18"/>
      <c r="D46" s="18"/>
      <c r="E46" s="18"/>
      <c r="F46" s="26" t="s">
        <v>169</v>
      </c>
      <c r="G46" s="152" t="s">
        <v>26</v>
      </c>
      <c r="H46" s="176" t="n">
        <v>4</v>
      </c>
      <c r="I46" s="154" t="n">
        <v>1</v>
      </c>
      <c r="J46" s="154" t="n">
        <v>1</v>
      </c>
      <c r="K46" s="155" t="n">
        <v>1233.4</v>
      </c>
      <c r="L46" s="155" t="n">
        <f aca="false">M46+N46</f>
        <v>0</v>
      </c>
      <c r="M46" s="155" t="n">
        <v>0</v>
      </c>
      <c r="N46" s="156"/>
      <c r="O46" s="157" t="n">
        <v>4</v>
      </c>
      <c r="P46" s="155" t="n">
        <v>11981.6</v>
      </c>
      <c r="Q46" s="155" t="n">
        <f aca="false">R46+S46</f>
        <v>13567.4</v>
      </c>
      <c r="R46" s="155" t="n">
        <f aca="false">528.6+11453</f>
        <v>11981.6</v>
      </c>
      <c r="S46" s="156" t="n">
        <v>1585.8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54"/>
      <c r="B47" s="55" t="s">
        <v>49</v>
      </c>
      <c r="C47" s="56" t="s">
        <v>20</v>
      </c>
      <c r="D47" s="78"/>
      <c r="E47" s="56" t="s">
        <v>50</v>
      </c>
      <c r="F47" s="36"/>
      <c r="G47" s="146" t="s">
        <v>22</v>
      </c>
      <c r="H47" s="169"/>
      <c r="I47" s="160"/>
      <c r="J47" s="160"/>
      <c r="K47" s="161"/>
      <c r="L47" s="161" t="n">
        <f aca="false">M47+N47</f>
        <v>0</v>
      </c>
      <c r="M47" s="161"/>
      <c r="N47" s="190"/>
      <c r="O47" s="163"/>
      <c r="P47" s="161"/>
      <c r="Q47" s="161" t="n">
        <f aca="false">R47+S47</f>
        <v>0</v>
      </c>
      <c r="R47" s="161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54"/>
      <c r="B48" s="55"/>
      <c r="C48" s="55"/>
      <c r="D48" s="55"/>
      <c r="E48" s="55"/>
      <c r="F48" s="57"/>
      <c r="G48" s="152" t="s">
        <v>26</v>
      </c>
      <c r="H48" s="153"/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33"/>
      <c r="B49" s="34" t="s">
        <v>51</v>
      </c>
      <c r="C49" s="35" t="s">
        <v>20</v>
      </c>
      <c r="D49" s="35"/>
      <c r="E49" s="35" t="s">
        <v>52</v>
      </c>
      <c r="F49" s="36"/>
      <c r="G49" s="146" t="s">
        <v>22</v>
      </c>
      <c r="H49" s="169" t="n">
        <v>6</v>
      </c>
      <c r="I49" s="160" t="n">
        <v>3</v>
      </c>
      <c r="J49" s="160" t="n">
        <v>4</v>
      </c>
      <c r="K49" s="161" t="n">
        <v>5976.7</v>
      </c>
      <c r="L49" s="161" t="n">
        <f aca="false">M49+N49</f>
        <v>5976.7</v>
      </c>
      <c r="M49" s="161"/>
      <c r="N49" s="190" t="n">
        <v>5976.7</v>
      </c>
      <c r="O49" s="151" t="n">
        <v>3</v>
      </c>
      <c r="P49" s="149" t="n">
        <v>9820.51</v>
      </c>
      <c r="Q49" s="149" t="n">
        <f aca="false">R49+S49</f>
        <v>9820.51</v>
      </c>
      <c r="R49" s="149" t="n">
        <v>5039.32</v>
      </c>
      <c r="S49" s="198" t="n">
        <v>4781.19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33"/>
      <c r="B50" s="34"/>
      <c r="C50" s="34"/>
      <c r="D50" s="34"/>
      <c r="E50" s="34"/>
      <c r="F50" s="71"/>
      <c r="G50" s="164" t="s">
        <v>26</v>
      </c>
      <c r="H50" s="175"/>
      <c r="I50" s="165"/>
      <c r="J50" s="165"/>
      <c r="K50" s="166"/>
      <c r="L50" s="166" t="n">
        <f aca="false">M50+N50</f>
        <v>0</v>
      </c>
      <c r="M50" s="166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17"/>
      <c r="B51" s="18" t="s">
        <v>154</v>
      </c>
      <c r="C51" s="19"/>
      <c r="D51" s="19" t="s">
        <v>170</v>
      </c>
      <c r="E51" s="19"/>
      <c r="F51" s="20"/>
      <c r="G51" s="146" t="s">
        <v>22</v>
      </c>
      <c r="H51" s="173" t="n">
        <v>46</v>
      </c>
      <c r="I51" s="148" t="n">
        <v>42</v>
      </c>
      <c r="J51" s="148" t="n">
        <v>42</v>
      </c>
      <c r="K51" s="149" t="n">
        <v>40092.46</v>
      </c>
      <c r="L51" s="149" t="n">
        <f aca="false">M51+N51</f>
        <v>39470.47</v>
      </c>
      <c r="M51" s="149" t="n">
        <v>34720.47</v>
      </c>
      <c r="N51" s="190" t="n">
        <v>4750</v>
      </c>
      <c r="O51" s="151"/>
      <c r="P51" s="149"/>
      <c r="Q51" s="149" t="n">
        <f aca="false">R51+S51</f>
        <v>0</v>
      </c>
      <c r="R51" s="149"/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26" t="s">
        <v>171</v>
      </c>
      <c r="G52" s="152" t="s">
        <v>26</v>
      </c>
      <c r="H52" s="174" t="n">
        <v>4</v>
      </c>
      <c r="I52" s="154" t="n">
        <v>1</v>
      </c>
      <c r="J52" s="154" t="n">
        <v>1</v>
      </c>
      <c r="K52" s="155" t="n">
        <v>1409.6</v>
      </c>
      <c r="L52" s="155" t="n">
        <f aca="false">M52+N52</f>
        <v>1409.6</v>
      </c>
      <c r="M52" s="155" t="n">
        <f aca="false">1409.6</f>
        <v>1409.6</v>
      </c>
      <c r="N52" s="156"/>
      <c r="O52" s="157"/>
      <c r="P52" s="155"/>
      <c r="Q52" s="155" t="n">
        <f aca="false">R52+S52</f>
        <v>0</v>
      </c>
      <c r="R52" s="155"/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54"/>
      <c r="B53" s="55" t="s">
        <v>53</v>
      </c>
      <c r="C53" s="56" t="s">
        <v>33</v>
      </c>
      <c r="D53" s="56" t="s">
        <v>54</v>
      </c>
      <c r="E53" s="56" t="s">
        <v>42</v>
      </c>
      <c r="F53" s="36"/>
      <c r="G53" s="158" t="s">
        <v>22</v>
      </c>
      <c r="H53" s="159" t="n">
        <v>14</v>
      </c>
      <c r="I53" s="160" t="n">
        <v>13</v>
      </c>
      <c r="J53" s="160" t="n">
        <v>17</v>
      </c>
      <c r="K53" s="161" t="n">
        <v>30660.61</v>
      </c>
      <c r="L53" s="161" t="n">
        <f aca="false">M53+N53</f>
        <v>22712.05</v>
      </c>
      <c r="M53" s="161" t="n">
        <v>11601.93</v>
      </c>
      <c r="N53" s="190" t="n">
        <v>11110.12</v>
      </c>
      <c r="O53" s="151" t="n">
        <v>21</v>
      </c>
      <c r="P53" s="149" t="n">
        <v>76522.71</v>
      </c>
      <c r="Q53" s="149" t="n">
        <f aca="false">R53+S53</f>
        <v>54609.33</v>
      </c>
      <c r="R53" s="149" t="n">
        <v>47845.54</v>
      </c>
      <c r="S53" s="198" t="n">
        <v>6763.79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54"/>
      <c r="B54" s="55"/>
      <c r="C54" s="55"/>
      <c r="D54" s="55"/>
      <c r="E54" s="55"/>
      <c r="F54" s="57"/>
      <c r="G54" s="152" t="s">
        <v>23</v>
      </c>
      <c r="H54" s="153"/>
      <c r="I54" s="154"/>
      <c r="J54" s="154"/>
      <c r="K54" s="155"/>
      <c r="L54" s="155" t="n">
        <f aca="false">M54+N54</f>
        <v>0</v>
      </c>
      <c r="M54" s="155"/>
      <c r="N54" s="156"/>
      <c r="O54" s="157"/>
      <c r="P54" s="155"/>
      <c r="Q54" s="155" t="n">
        <f aca="false">R54+S54</f>
        <v>0</v>
      </c>
      <c r="R54" s="155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33"/>
      <c r="B55" s="34" t="s">
        <v>55</v>
      </c>
      <c r="C55" s="35" t="s">
        <v>20</v>
      </c>
      <c r="D55" s="35"/>
      <c r="E55" s="35" t="s">
        <v>25</v>
      </c>
      <c r="F55" s="38"/>
      <c r="G55" s="146" t="s">
        <v>22</v>
      </c>
      <c r="H55" s="169" t="n">
        <v>2</v>
      </c>
      <c r="I55" s="160" t="n">
        <v>1</v>
      </c>
      <c r="J55" s="160" t="n">
        <v>1</v>
      </c>
      <c r="K55" s="161" t="n">
        <v>1691.52</v>
      </c>
      <c r="L55" s="161" t="n">
        <f aca="false">M55+N55</f>
        <v>0</v>
      </c>
      <c r="M55" s="161"/>
      <c r="N55" s="190"/>
      <c r="O55" s="163" t="n">
        <v>3</v>
      </c>
      <c r="P55" s="161" t="n">
        <v>18745.92</v>
      </c>
      <c r="Q55" s="161" t="n">
        <f aca="false">R55+S55</f>
        <v>18745.92</v>
      </c>
      <c r="R55" s="161" t="n">
        <v>18745.92</v>
      </c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33"/>
      <c r="B56" s="34"/>
      <c r="C56" s="34"/>
      <c r="D56" s="34"/>
      <c r="E56" s="34"/>
      <c r="F56" s="42" t="s">
        <v>172</v>
      </c>
      <c r="G56" s="164" t="s">
        <v>26</v>
      </c>
      <c r="H56" s="171" t="n">
        <v>3</v>
      </c>
      <c r="I56" s="165" t="n">
        <v>1</v>
      </c>
      <c r="J56" s="165" t="n">
        <v>1</v>
      </c>
      <c r="K56" s="166" t="n">
        <v>1057.2</v>
      </c>
      <c r="L56" s="161" t="n">
        <f aca="false">M56+N56</f>
        <v>0</v>
      </c>
      <c r="M56" s="166" t="n">
        <v>0</v>
      </c>
      <c r="N56" s="156"/>
      <c r="O56" s="168" t="n">
        <v>8</v>
      </c>
      <c r="P56" s="166" t="n">
        <v>14217.29</v>
      </c>
      <c r="Q56" s="161" t="n">
        <f aca="false">R56+S56</f>
        <v>18120.69</v>
      </c>
      <c r="R56" s="166" t="n">
        <f aca="false">1409.6+3672.29+13038.8</f>
        <v>18120.69</v>
      </c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.75" hidden="false" customHeight="true" outlineLevel="0" collapsed="false">
      <c r="A57" s="17"/>
      <c r="B57" s="18" t="s">
        <v>56</v>
      </c>
      <c r="C57" s="19" t="s">
        <v>33</v>
      </c>
      <c r="D57" s="19" t="s">
        <v>57</v>
      </c>
      <c r="E57" s="19" t="s">
        <v>25</v>
      </c>
      <c r="F57" s="20"/>
      <c r="G57" s="146" t="s">
        <v>22</v>
      </c>
      <c r="H57" s="159" t="n">
        <v>6</v>
      </c>
      <c r="I57" s="148"/>
      <c r="J57" s="148"/>
      <c r="K57" s="149"/>
      <c r="L57" s="149" t="n">
        <f aca="false">M57+N57</f>
        <v>0</v>
      </c>
      <c r="M57" s="149"/>
      <c r="N57" s="190"/>
      <c r="O57" s="151" t="n">
        <v>11</v>
      </c>
      <c r="P57" s="149" t="n">
        <v>43131.21</v>
      </c>
      <c r="Q57" s="149" t="n">
        <f aca="false">R57+S57</f>
        <v>43131.21</v>
      </c>
      <c r="R57" s="149" t="n">
        <v>43131.21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42"/>
      <c r="G58" s="164" t="s">
        <v>26</v>
      </c>
      <c r="H58" s="175" t="n">
        <v>3</v>
      </c>
      <c r="I58" s="165"/>
      <c r="J58" s="165"/>
      <c r="K58" s="166"/>
      <c r="L58" s="166" t="n">
        <f aca="false">M58+N58</f>
        <v>0</v>
      </c>
      <c r="M58" s="166"/>
      <c r="N58" s="156"/>
      <c r="O58" s="168" t="n">
        <v>5</v>
      </c>
      <c r="P58" s="166"/>
      <c r="Q58" s="166" t="n">
        <f aca="false">R58+S58</f>
        <v>0</v>
      </c>
      <c r="R58" s="166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266</v>
      </c>
      <c r="C59" s="19" t="s">
        <v>20</v>
      </c>
      <c r="D59" s="19"/>
      <c r="E59" s="19" t="s">
        <v>267</v>
      </c>
      <c r="F59" s="20"/>
      <c r="G59" s="146" t="s">
        <v>22</v>
      </c>
      <c r="H59" s="173" t="n">
        <v>2</v>
      </c>
      <c r="I59" s="148" t="n">
        <v>1</v>
      </c>
      <c r="J59" s="148" t="n">
        <v>1</v>
      </c>
      <c r="K59" s="149" t="n">
        <v>528.6</v>
      </c>
      <c r="L59" s="149" t="n">
        <f aca="false">M59+N59</f>
        <v>0</v>
      </c>
      <c r="M59" s="149"/>
      <c r="N59" s="190"/>
      <c r="O59" s="206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268</v>
      </c>
      <c r="G60" s="152" t="s">
        <v>26</v>
      </c>
      <c r="H60" s="174" t="n">
        <v>5</v>
      </c>
      <c r="I60" s="154" t="n">
        <v>3</v>
      </c>
      <c r="J60" s="154" t="n">
        <v>3</v>
      </c>
      <c r="K60" s="155" t="n">
        <v>5286</v>
      </c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54"/>
      <c r="B61" s="55" t="s">
        <v>155</v>
      </c>
      <c r="C61" s="56"/>
      <c r="D61" s="56"/>
      <c r="E61" s="56"/>
      <c r="F61" s="36"/>
      <c r="G61" s="158" t="s">
        <v>22</v>
      </c>
      <c r="H61" s="159" t="n">
        <v>13</v>
      </c>
      <c r="I61" s="160" t="n">
        <v>12</v>
      </c>
      <c r="J61" s="160" t="n">
        <v>13</v>
      </c>
      <c r="K61" s="161" t="n">
        <v>17764.48</v>
      </c>
      <c r="L61" s="161" t="n">
        <f aca="false">M61+N61</f>
        <v>13482.82</v>
      </c>
      <c r="M61" s="161" t="n">
        <v>13482.82</v>
      </c>
      <c r="N61" s="190"/>
      <c r="O61" s="163"/>
      <c r="P61" s="161"/>
      <c r="Q61" s="161" t="n">
        <f aca="false">R61+S61</f>
        <v>0</v>
      </c>
      <c r="R61" s="161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54"/>
      <c r="B62" s="55"/>
      <c r="C62" s="55"/>
      <c r="D62" s="55"/>
      <c r="E62" s="55"/>
      <c r="F62" s="71"/>
      <c r="G62" s="164" t="s">
        <v>26</v>
      </c>
      <c r="H62" s="177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221</v>
      </c>
      <c r="C63" s="19" t="s">
        <v>20</v>
      </c>
      <c r="D63" s="19"/>
      <c r="E63" s="19" t="s">
        <v>278</v>
      </c>
      <c r="F63" s="20"/>
      <c r="G63" s="146" t="s">
        <v>22</v>
      </c>
      <c r="H63" s="173" t="n">
        <v>8</v>
      </c>
      <c r="I63" s="148" t="n">
        <v>2</v>
      </c>
      <c r="J63" s="148" t="n">
        <v>2</v>
      </c>
      <c r="K63" s="149" t="n">
        <v>5127.42</v>
      </c>
      <c r="L63" s="149" t="n">
        <f aca="false">M63+N63</f>
        <v>3717.82</v>
      </c>
      <c r="M63" s="149" t="n">
        <v>3717.82</v>
      </c>
      <c r="N63" s="190"/>
      <c r="O63" s="151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233</v>
      </c>
      <c r="G64" s="152" t="s">
        <v>23</v>
      </c>
      <c r="H64" s="174" t="n">
        <v>5</v>
      </c>
      <c r="I64" s="154" t="n">
        <v>5</v>
      </c>
      <c r="J64" s="154" t="n">
        <v>5</v>
      </c>
      <c r="K64" s="155" t="n">
        <v>4052.6</v>
      </c>
      <c r="L64" s="155" t="n">
        <f aca="false">M64+N64</f>
        <v>704.8</v>
      </c>
      <c r="M64" s="155" t="n">
        <v>704.8</v>
      </c>
      <c r="N64" s="156"/>
      <c r="O64" s="157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33"/>
      <c r="B65" s="34" t="s">
        <v>58</v>
      </c>
      <c r="C65" s="35" t="s">
        <v>20</v>
      </c>
      <c r="D65" s="35"/>
      <c r="E65" s="35" t="s">
        <v>52</v>
      </c>
      <c r="F65" s="36"/>
      <c r="G65" s="158" t="s">
        <v>22</v>
      </c>
      <c r="H65" s="159" t="n">
        <v>11</v>
      </c>
      <c r="I65" s="160" t="n">
        <v>6</v>
      </c>
      <c r="J65" s="160" t="n">
        <v>10</v>
      </c>
      <c r="K65" s="161" t="n">
        <v>16500.69</v>
      </c>
      <c r="L65" s="161" t="n">
        <f aca="false">M65+N65</f>
        <v>16500.69</v>
      </c>
      <c r="M65" s="161" t="n">
        <v>7830.33</v>
      </c>
      <c r="N65" s="190" t="n">
        <v>8670.36</v>
      </c>
      <c r="O65" s="163" t="n">
        <v>10</v>
      </c>
      <c r="P65" s="161" t="n">
        <v>62059.28</v>
      </c>
      <c r="Q65" s="161" t="n">
        <f aca="false">R65+S65</f>
        <v>62059.28</v>
      </c>
      <c r="R65" s="161" t="n">
        <v>39387.3</v>
      </c>
      <c r="S65" s="190" t="n">
        <v>22671.98</v>
      </c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71"/>
      <c r="G66" s="164" t="s">
        <v>26</v>
      </c>
      <c r="H66" s="175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269</v>
      </c>
      <c r="C67" s="19"/>
      <c r="D67" s="49"/>
      <c r="E67" s="19"/>
      <c r="F67" s="22"/>
      <c r="G67" s="146" t="s">
        <v>22</v>
      </c>
      <c r="H67" s="147" t="n">
        <v>7</v>
      </c>
      <c r="I67" s="148" t="n">
        <v>5</v>
      </c>
      <c r="J67" s="148" t="n">
        <v>5</v>
      </c>
      <c r="K67" s="149" t="n">
        <v>14798.19</v>
      </c>
      <c r="L67" s="149" t="n">
        <f aca="false">M67+N67</f>
        <v>0</v>
      </c>
      <c r="M67" s="149"/>
      <c r="N67" s="190"/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/>
      <c r="G68" s="152" t="s">
        <v>26</v>
      </c>
      <c r="H68" s="176"/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54"/>
      <c r="B69" s="55" t="s">
        <v>222</v>
      </c>
      <c r="C69" s="56" t="s">
        <v>20</v>
      </c>
      <c r="D69" s="78"/>
      <c r="E69" s="56" t="s">
        <v>279</v>
      </c>
      <c r="F69" s="38"/>
      <c r="G69" s="158" t="s">
        <v>22</v>
      </c>
      <c r="H69" s="169" t="n">
        <v>19</v>
      </c>
      <c r="I69" s="160" t="n">
        <v>3</v>
      </c>
      <c r="J69" s="160" t="n">
        <v>3</v>
      </c>
      <c r="K69" s="161" t="n">
        <v>10353.95</v>
      </c>
      <c r="L69" s="161" t="n">
        <f aca="false">M69+N69</f>
        <v>3383.04</v>
      </c>
      <c r="M69" s="161" t="n">
        <v>3383.04</v>
      </c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54"/>
      <c r="B70" s="55"/>
      <c r="C70" s="55"/>
      <c r="D70" s="55"/>
      <c r="E70" s="55"/>
      <c r="F70" s="42" t="s">
        <v>234</v>
      </c>
      <c r="G70" s="164" t="s">
        <v>23</v>
      </c>
      <c r="H70" s="178" t="n">
        <v>3</v>
      </c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249</v>
      </c>
      <c r="C71" s="19"/>
      <c r="D71" s="49"/>
      <c r="E71" s="19"/>
      <c r="F71" s="22"/>
      <c r="G71" s="146" t="s">
        <v>22</v>
      </c>
      <c r="H71" s="147"/>
      <c r="I71" s="148"/>
      <c r="J71" s="148"/>
      <c r="K71" s="149"/>
      <c r="L71" s="149" t="n">
        <f aca="false">M71+N71</f>
        <v>0</v>
      </c>
      <c r="M71" s="149"/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50" t="s">
        <v>250</v>
      </c>
      <c r="G72" s="152" t="s">
        <v>26</v>
      </c>
      <c r="H72" s="176" t="n">
        <v>4</v>
      </c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33"/>
      <c r="B73" s="34" t="s">
        <v>59</v>
      </c>
      <c r="C73" s="35" t="s">
        <v>20</v>
      </c>
      <c r="D73" s="95"/>
      <c r="E73" s="35" t="s">
        <v>25</v>
      </c>
      <c r="F73" s="38"/>
      <c r="G73" s="158" t="s">
        <v>22</v>
      </c>
      <c r="H73" s="169"/>
      <c r="I73" s="160"/>
      <c r="J73" s="160"/>
      <c r="K73" s="161"/>
      <c r="L73" s="161" t="n">
        <f aca="false">M73+N73</f>
        <v>0</v>
      </c>
      <c r="M73" s="161"/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33"/>
      <c r="B74" s="34"/>
      <c r="C74" s="34"/>
      <c r="D74" s="34"/>
      <c r="E74" s="34"/>
      <c r="F74" s="71"/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60</v>
      </c>
      <c r="C75" s="19" t="s">
        <v>20</v>
      </c>
      <c r="D75" s="19"/>
      <c r="E75" s="19" t="s">
        <v>21</v>
      </c>
      <c r="F75" s="22"/>
      <c r="G75" s="146" t="s">
        <v>22</v>
      </c>
      <c r="H75" s="169" t="n">
        <v>4</v>
      </c>
      <c r="I75" s="148" t="n">
        <v>1</v>
      </c>
      <c r="J75" s="148" t="n">
        <v>1</v>
      </c>
      <c r="K75" s="149" t="n">
        <v>1046.63</v>
      </c>
      <c r="L75" s="149" t="n">
        <f aca="false">M75+N75</f>
        <v>0</v>
      </c>
      <c r="M75" s="149"/>
      <c r="N75" s="190"/>
      <c r="O75" s="151" t="n">
        <v>2</v>
      </c>
      <c r="P75" s="149" t="n">
        <v>3855.96</v>
      </c>
      <c r="Q75" s="149" t="n">
        <f aca="false">R75+S75</f>
        <v>881</v>
      </c>
      <c r="R75" s="149" t="n">
        <v>881</v>
      </c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71"/>
      <c r="G76" s="164" t="s">
        <v>23</v>
      </c>
      <c r="H76" s="175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17"/>
      <c r="B77" s="18" t="s">
        <v>223</v>
      </c>
      <c r="C77" s="19" t="s">
        <v>33</v>
      </c>
      <c r="D77" s="19" t="s">
        <v>280</v>
      </c>
      <c r="E77" s="19" t="s">
        <v>259</v>
      </c>
      <c r="F77" s="20"/>
      <c r="G77" s="146" t="s">
        <v>22</v>
      </c>
      <c r="H77" s="173" t="n">
        <v>11</v>
      </c>
      <c r="I77" s="148" t="n">
        <v>4</v>
      </c>
      <c r="J77" s="148" t="n">
        <v>4</v>
      </c>
      <c r="K77" s="149" t="n">
        <v>24532.79</v>
      </c>
      <c r="L77" s="149" t="n">
        <f aca="false">M77+N77</f>
        <v>5039.32</v>
      </c>
      <c r="M77" s="149" t="n">
        <v>5039.32</v>
      </c>
      <c r="N77" s="190"/>
      <c r="O77" s="151"/>
      <c r="P77" s="149"/>
      <c r="Q77" s="149" t="n">
        <f aca="false">R77+S77</f>
        <v>0</v>
      </c>
      <c r="R77" s="149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26" t="s">
        <v>235</v>
      </c>
      <c r="G78" s="152" t="s">
        <v>23</v>
      </c>
      <c r="H78" s="174" t="n">
        <v>23</v>
      </c>
      <c r="I78" s="154" t="n">
        <v>11</v>
      </c>
      <c r="J78" s="154" t="n">
        <v>11</v>
      </c>
      <c r="K78" s="155" t="n">
        <v>14419.32</v>
      </c>
      <c r="L78" s="155" t="n">
        <v>7075.6</v>
      </c>
      <c r="M78" s="155" t="n">
        <v>7075.6</v>
      </c>
      <c r="N78" s="156"/>
      <c r="O78" s="157"/>
      <c r="P78" s="155"/>
      <c r="Q78" s="155" t="n">
        <f aca="false">R78+S78</f>
        <v>0</v>
      </c>
      <c r="R78" s="155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33"/>
      <c r="B79" s="34" t="s">
        <v>61</v>
      </c>
      <c r="C79" s="35" t="s">
        <v>33</v>
      </c>
      <c r="D79" s="56" t="s">
        <v>62</v>
      </c>
      <c r="E79" s="35" t="s">
        <v>25</v>
      </c>
      <c r="F79" s="36"/>
      <c r="G79" s="158" t="s">
        <v>22</v>
      </c>
      <c r="H79" s="159" t="n">
        <v>4</v>
      </c>
      <c r="I79" s="160" t="n">
        <v>3</v>
      </c>
      <c r="J79" s="160" t="n">
        <v>3</v>
      </c>
      <c r="K79" s="161" t="n">
        <v>4510.72</v>
      </c>
      <c r="L79" s="161" t="n">
        <f aca="false">M79+N79</f>
        <v>4510.72</v>
      </c>
      <c r="M79" s="161" t="n">
        <v>4510.72</v>
      </c>
      <c r="N79" s="190"/>
      <c r="O79" s="163" t="n">
        <v>1</v>
      </c>
      <c r="P79" s="161" t="n">
        <v>5123.54</v>
      </c>
      <c r="Q79" s="161" t="n">
        <f aca="false">R79+S79</f>
        <v>5123.54</v>
      </c>
      <c r="R79" s="161" t="n">
        <v>5123.54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33"/>
      <c r="B80" s="34"/>
      <c r="C80" s="34"/>
      <c r="D80" s="56"/>
      <c r="E80" s="35"/>
      <c r="F80" s="42" t="s">
        <v>173</v>
      </c>
      <c r="G80" s="164" t="s">
        <v>26</v>
      </c>
      <c r="H80" s="153" t="n">
        <v>3</v>
      </c>
      <c r="I80" s="165" t="n">
        <v>3</v>
      </c>
      <c r="J80" s="165" t="n">
        <v>3</v>
      </c>
      <c r="K80" s="166" t="n">
        <v>2643</v>
      </c>
      <c r="L80" s="166" t="n">
        <f aca="false">M80+N80</f>
        <v>704.8</v>
      </c>
      <c r="M80" s="166" t="n">
        <f aca="false">704.8</f>
        <v>704.8</v>
      </c>
      <c r="N80" s="156"/>
      <c r="O80" s="168" t="n">
        <v>2</v>
      </c>
      <c r="P80" s="166" t="n">
        <v>3171.6</v>
      </c>
      <c r="Q80" s="166" t="n">
        <f aca="false">R80+S80</f>
        <v>2907.3</v>
      </c>
      <c r="R80" s="166" t="n">
        <f aca="false">2907.3</f>
        <v>2907.3</v>
      </c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72"/>
      <c r="B81" s="73" t="s">
        <v>63</v>
      </c>
      <c r="C81" s="74" t="s">
        <v>20</v>
      </c>
      <c r="D81" s="74"/>
      <c r="E81" s="74" t="s">
        <v>25</v>
      </c>
      <c r="F81" s="20"/>
      <c r="G81" s="146" t="s">
        <v>22</v>
      </c>
      <c r="H81" s="169" t="n">
        <v>5</v>
      </c>
      <c r="I81" s="148" t="n">
        <v>3</v>
      </c>
      <c r="J81" s="148" t="n">
        <v>4</v>
      </c>
      <c r="K81" s="149" t="n">
        <v>5720.34</v>
      </c>
      <c r="L81" s="149" t="n">
        <f aca="false">M81+N81</f>
        <v>1162.92</v>
      </c>
      <c r="M81" s="149" t="n">
        <v>1162.92</v>
      </c>
      <c r="N81" s="190"/>
      <c r="O81" s="151" t="n">
        <v>9</v>
      </c>
      <c r="P81" s="149" t="n">
        <v>28668.15</v>
      </c>
      <c r="Q81" s="149" t="n">
        <f aca="false">R81+S81</f>
        <v>28069.07</v>
      </c>
      <c r="R81" s="149" t="n">
        <v>28069.07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72"/>
      <c r="B82" s="73"/>
      <c r="C82" s="73"/>
      <c r="D82" s="73"/>
      <c r="E82" s="73"/>
      <c r="F82" s="42" t="s">
        <v>174</v>
      </c>
      <c r="G82" s="164" t="s">
        <v>26</v>
      </c>
      <c r="H82" s="153" t="n">
        <v>3</v>
      </c>
      <c r="I82" s="165"/>
      <c r="J82" s="165"/>
      <c r="K82" s="166"/>
      <c r="L82" s="166" t="n">
        <f aca="false">M82+N82</f>
        <v>0</v>
      </c>
      <c r="M82" s="166"/>
      <c r="N82" s="156"/>
      <c r="O82" s="168"/>
      <c r="P82" s="166"/>
      <c r="Q82" s="166" t="n">
        <f aca="false">R82+S82</f>
        <v>0</v>
      </c>
      <c r="R82" s="166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72"/>
      <c r="B83" s="73" t="s">
        <v>64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1</v>
      </c>
      <c r="I83" s="148"/>
      <c r="J83" s="148"/>
      <c r="K83" s="149"/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71"/>
      <c r="G84" s="164" t="s">
        <v>26</v>
      </c>
      <c r="H84" s="153"/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17"/>
      <c r="B85" s="18" t="s">
        <v>65</v>
      </c>
      <c r="C85" s="19" t="s">
        <v>33</v>
      </c>
      <c r="D85" s="19" t="s">
        <v>66</v>
      </c>
      <c r="E85" s="19" t="s">
        <v>67</v>
      </c>
      <c r="F85" s="20"/>
      <c r="G85" s="146" t="s">
        <v>22</v>
      </c>
      <c r="H85" s="159" t="n">
        <v>8</v>
      </c>
      <c r="I85" s="148" t="n">
        <v>6</v>
      </c>
      <c r="J85" s="148" t="n">
        <v>7</v>
      </c>
      <c r="K85" s="149" t="n">
        <v>8722.99</v>
      </c>
      <c r="L85" s="149" t="n">
        <f aca="false">M85+N85</f>
        <v>5752.93</v>
      </c>
      <c r="M85" s="149" t="n">
        <v>3057.07</v>
      </c>
      <c r="N85" s="190" t="n">
        <v>2695.86</v>
      </c>
      <c r="O85" s="151" t="n">
        <v>10</v>
      </c>
      <c r="P85" s="149" t="n">
        <v>43656.97</v>
      </c>
      <c r="Q85" s="149" t="n">
        <f aca="false">R85+S85</f>
        <v>43656.97</v>
      </c>
      <c r="R85" s="149" t="n">
        <v>14207.76</v>
      </c>
      <c r="S85" s="190" t="n">
        <v>29449.21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42" t="s">
        <v>236</v>
      </c>
      <c r="G86" s="164" t="s">
        <v>23</v>
      </c>
      <c r="H86" s="172" t="n">
        <v>34</v>
      </c>
      <c r="I86" s="165" t="n">
        <v>26</v>
      </c>
      <c r="J86" s="165" t="n">
        <v>26</v>
      </c>
      <c r="K86" s="166" t="n">
        <v>29277.8</v>
      </c>
      <c r="L86" s="166" t="n">
        <v>3524</v>
      </c>
      <c r="M86" s="166" t="n">
        <v>3524</v>
      </c>
      <c r="N86" s="156" t="n">
        <v>4052.6</v>
      </c>
      <c r="O86" s="168" t="n">
        <v>34</v>
      </c>
      <c r="P86" s="166" t="n">
        <v>70390.42</v>
      </c>
      <c r="Q86" s="166" t="n">
        <v>30232.1</v>
      </c>
      <c r="R86" s="166" t="n">
        <v>30232.1</v>
      </c>
      <c r="S86" s="156" t="n">
        <v>9162.4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175</v>
      </c>
      <c r="C87" s="19"/>
      <c r="D87" s="19"/>
      <c r="E87" s="19"/>
      <c r="F87" s="137"/>
      <c r="G87" s="146" t="s">
        <v>22</v>
      </c>
      <c r="H87" s="147" t="n">
        <v>6</v>
      </c>
      <c r="I87" s="148" t="n">
        <v>2</v>
      </c>
      <c r="J87" s="148" t="n">
        <v>3</v>
      </c>
      <c r="K87" s="149" t="n">
        <v>5340.62</v>
      </c>
      <c r="L87" s="149" t="n">
        <f aca="false">M87+N87</f>
        <v>2035.11</v>
      </c>
      <c r="M87" s="149" t="n">
        <v>2035.11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" hidden="false" customHeight="false" outlineLevel="0" collapsed="false">
      <c r="A88" s="17"/>
      <c r="B88" s="18"/>
      <c r="C88" s="18"/>
      <c r="D88" s="18"/>
      <c r="E88" s="18"/>
      <c r="F88" s="89"/>
      <c r="G88" s="164" t="s">
        <v>26</v>
      </c>
      <c r="H88" s="178" t="n">
        <v>6</v>
      </c>
      <c r="I88" s="165" t="n">
        <v>3</v>
      </c>
      <c r="J88" s="165" t="n">
        <v>3</v>
      </c>
      <c r="K88" s="166" t="n">
        <v>6343.2</v>
      </c>
      <c r="L88" s="166" t="n">
        <f aca="false">M88+N88</f>
        <v>2290.6</v>
      </c>
      <c r="M88" s="166" t="n">
        <f aca="false">2290.6</f>
        <v>2290.6</v>
      </c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68</v>
      </c>
      <c r="C89" s="19" t="s">
        <v>20</v>
      </c>
      <c r="D89" s="19"/>
      <c r="E89" s="19" t="s">
        <v>69</v>
      </c>
      <c r="F89" s="22"/>
      <c r="G89" s="146" t="s">
        <v>22</v>
      </c>
      <c r="H89" s="147" t="n">
        <v>6</v>
      </c>
      <c r="I89" s="148" t="n">
        <v>3</v>
      </c>
      <c r="J89" s="148" t="n">
        <v>3</v>
      </c>
      <c r="K89" s="149" t="n">
        <v>4786.75</v>
      </c>
      <c r="L89" s="149" t="n">
        <f aca="false">M89+N89</f>
        <v>4786.75</v>
      </c>
      <c r="M89" s="149" t="n">
        <v>4105.29</v>
      </c>
      <c r="N89" s="190" t="n">
        <v>681.46</v>
      </c>
      <c r="O89" s="151" t="n">
        <v>14</v>
      </c>
      <c r="P89" s="149" t="n">
        <v>46890.62</v>
      </c>
      <c r="Q89" s="149" t="n">
        <f aca="false">R89+S89</f>
        <v>46890.62</v>
      </c>
      <c r="R89" s="149" t="n">
        <v>21614.18</v>
      </c>
      <c r="S89" s="190" t="n">
        <v>25276.44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26" t="s">
        <v>176</v>
      </c>
      <c r="G90" s="152" t="s">
        <v>26</v>
      </c>
      <c r="H90" s="153" t="n">
        <v>7</v>
      </c>
      <c r="I90" s="154" t="n">
        <v>3</v>
      </c>
      <c r="J90" s="154" t="n">
        <v>3</v>
      </c>
      <c r="K90" s="235" t="n">
        <v>5995.52</v>
      </c>
      <c r="L90" s="155" t="n">
        <f aca="false">M90+N90</f>
        <v>2819.2</v>
      </c>
      <c r="M90" s="155" t="n">
        <f aca="false">2819.2</f>
        <v>2819.2</v>
      </c>
      <c r="N90" s="156"/>
      <c r="O90" s="157"/>
      <c r="P90" s="155" t="n">
        <v>5462.2</v>
      </c>
      <c r="Q90" s="155" t="n">
        <f aca="false">R90+S90</f>
        <v>4405</v>
      </c>
      <c r="R90" s="155" t="n">
        <f aca="false">4405</f>
        <v>4405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.75" hidden="false" customHeight="true" outlineLevel="0" collapsed="false">
      <c r="A91" s="54"/>
      <c r="B91" s="55" t="s">
        <v>70</v>
      </c>
      <c r="C91" s="56" t="s">
        <v>20</v>
      </c>
      <c r="D91" s="56" t="s">
        <v>71</v>
      </c>
      <c r="E91" s="56" t="s">
        <v>25</v>
      </c>
      <c r="F91" s="36"/>
      <c r="G91" s="158" t="s">
        <v>22</v>
      </c>
      <c r="H91" s="169" t="n">
        <v>1</v>
      </c>
      <c r="I91" s="160"/>
      <c r="J91" s="160"/>
      <c r="K91" s="161"/>
      <c r="L91" s="161" t="n">
        <f aca="false">M91+N91</f>
        <v>0</v>
      </c>
      <c r="M91" s="161"/>
      <c r="N91" s="190"/>
      <c r="O91" s="163" t="n">
        <v>4</v>
      </c>
      <c r="P91" s="161" t="n">
        <v>27231.45</v>
      </c>
      <c r="Q91" s="161" t="n">
        <f aca="false">R91+S91</f>
        <v>7836.01</v>
      </c>
      <c r="R91" s="161" t="n">
        <v>7836.01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54"/>
      <c r="B92" s="55"/>
      <c r="C92" s="55"/>
      <c r="D92" s="55"/>
      <c r="E92" s="55"/>
      <c r="F92" s="26" t="s">
        <v>177</v>
      </c>
      <c r="G92" s="152" t="s">
        <v>26</v>
      </c>
      <c r="H92" s="153" t="n">
        <v>7</v>
      </c>
      <c r="I92" s="154" t="n">
        <v>1</v>
      </c>
      <c r="J92" s="154" t="n">
        <v>1</v>
      </c>
      <c r="K92" s="155" t="n">
        <v>1409.6</v>
      </c>
      <c r="L92" s="155" t="n">
        <f aca="false">M92+N92</f>
        <v>0</v>
      </c>
      <c r="M92" s="155"/>
      <c r="N92" s="156"/>
      <c r="O92" s="157"/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33"/>
      <c r="B93" s="34" t="s">
        <v>72</v>
      </c>
      <c r="C93" s="35" t="s">
        <v>20</v>
      </c>
      <c r="D93" s="35"/>
      <c r="E93" s="35" t="s">
        <v>52</v>
      </c>
      <c r="F93" s="36"/>
      <c r="G93" s="146" t="s">
        <v>22</v>
      </c>
      <c r="H93" s="159" t="n">
        <v>5</v>
      </c>
      <c r="I93" s="160" t="n">
        <v>4</v>
      </c>
      <c r="J93" s="160" t="n">
        <v>4</v>
      </c>
      <c r="K93" s="161" t="n">
        <v>6532.71</v>
      </c>
      <c r="L93" s="161" t="n">
        <f aca="false">M93+N93</f>
        <v>5486.08</v>
      </c>
      <c r="M93" s="161" t="n">
        <v>2948.8</v>
      </c>
      <c r="N93" s="190" t="n">
        <v>2537.28</v>
      </c>
      <c r="O93" s="163" t="n">
        <v>6</v>
      </c>
      <c r="P93" s="161" t="n">
        <v>44299.53</v>
      </c>
      <c r="Q93" s="161" t="n">
        <f aca="false">R93+S93</f>
        <v>44299.53</v>
      </c>
      <c r="R93" s="161" t="n">
        <v>34299.64</v>
      </c>
      <c r="S93" s="190" t="n">
        <v>9999.89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178</v>
      </c>
      <c r="G94" s="164" t="s">
        <v>26</v>
      </c>
      <c r="H94" s="171" t="n">
        <v>4</v>
      </c>
      <c r="I94" s="165" t="n">
        <v>2</v>
      </c>
      <c r="J94" s="165" t="n">
        <v>2</v>
      </c>
      <c r="K94" s="166" t="n">
        <v>1938.2</v>
      </c>
      <c r="L94" s="161" t="n">
        <f aca="false">M94+N94</f>
        <v>4052.6</v>
      </c>
      <c r="M94" s="166" t="n">
        <v>4052.6</v>
      </c>
      <c r="N94" s="156"/>
      <c r="O94" s="168" t="n">
        <v>3</v>
      </c>
      <c r="P94" s="166" t="n">
        <v>11108.48</v>
      </c>
      <c r="Q94" s="166" t="n">
        <f aca="false">R94+S94</f>
        <v>11989.48</v>
      </c>
      <c r="R94" s="166" t="n">
        <f aca="false">3347.8+8641.68</f>
        <v>11989.48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17"/>
      <c r="B95" s="18" t="s">
        <v>73</v>
      </c>
      <c r="C95" s="19" t="s">
        <v>20</v>
      </c>
      <c r="D95" s="19"/>
      <c r="E95" s="19" t="s">
        <v>52</v>
      </c>
      <c r="F95" s="20"/>
      <c r="G95" s="146" t="s">
        <v>22</v>
      </c>
      <c r="H95" s="159" t="n">
        <v>4</v>
      </c>
      <c r="I95" s="148" t="n">
        <v>2</v>
      </c>
      <c r="J95" s="148" t="n">
        <v>2</v>
      </c>
      <c r="K95" s="149" t="n">
        <v>2277.26</v>
      </c>
      <c r="L95" s="149" t="n">
        <f aca="false">M95+N95</f>
        <v>2277.26</v>
      </c>
      <c r="M95" s="149" t="n">
        <v>2277.26</v>
      </c>
      <c r="N95" s="190"/>
      <c r="O95" s="151" t="n">
        <v>4</v>
      </c>
      <c r="P95" s="149" t="n">
        <v>11448.19</v>
      </c>
      <c r="Q95" s="149" t="n">
        <f aca="false">R95+S95</f>
        <v>10069.05</v>
      </c>
      <c r="R95" s="149" t="n">
        <v>10069.05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17"/>
      <c r="B96" s="18"/>
      <c r="C96" s="18"/>
      <c r="D96" s="18"/>
      <c r="E96" s="18"/>
      <c r="F96" s="26" t="s">
        <v>179</v>
      </c>
      <c r="G96" s="152" t="s">
        <v>26</v>
      </c>
      <c r="H96" s="153" t="n">
        <v>6</v>
      </c>
      <c r="I96" s="154" t="n">
        <v>3</v>
      </c>
      <c r="J96" s="154" t="n">
        <v>3</v>
      </c>
      <c r="K96" s="155" t="n">
        <v>8454.6</v>
      </c>
      <c r="L96" s="155" t="n">
        <f aca="false">M96+N96</f>
        <v>9162.4</v>
      </c>
      <c r="M96" s="155" t="n">
        <v>5109.8</v>
      </c>
      <c r="N96" s="156" t="n">
        <v>4052.6</v>
      </c>
      <c r="O96" s="157" t="n">
        <v>2</v>
      </c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33"/>
      <c r="B97" s="34" t="s">
        <v>74</v>
      </c>
      <c r="C97" s="35" t="s">
        <v>33</v>
      </c>
      <c r="D97" s="35" t="s">
        <v>75</v>
      </c>
      <c r="E97" s="35" t="s">
        <v>25</v>
      </c>
      <c r="F97" s="36"/>
      <c r="G97" s="146" t="s">
        <v>22</v>
      </c>
      <c r="H97" s="159" t="n">
        <v>25</v>
      </c>
      <c r="I97" s="160" t="n">
        <v>18</v>
      </c>
      <c r="J97" s="160" t="n">
        <v>18</v>
      </c>
      <c r="K97" s="161" t="n">
        <v>29309.44</v>
      </c>
      <c r="L97" s="161" t="n">
        <f aca="false">M97+N97</f>
        <v>11782.59</v>
      </c>
      <c r="M97" s="161" t="n">
        <v>11782.59</v>
      </c>
      <c r="N97" s="190"/>
      <c r="O97" s="163" t="n">
        <v>23</v>
      </c>
      <c r="P97" s="161" t="n">
        <v>58007.41</v>
      </c>
      <c r="Q97" s="161" t="n">
        <f aca="false">R97+S97</f>
        <v>42638.01</v>
      </c>
      <c r="R97" s="161" t="n">
        <v>42638.01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270</v>
      </c>
      <c r="G98" s="164" t="s">
        <v>26</v>
      </c>
      <c r="H98" s="153"/>
      <c r="I98" s="165"/>
      <c r="J98" s="165"/>
      <c r="K98" s="166"/>
      <c r="L98" s="166" t="n">
        <f aca="false">M98+N98</f>
        <v>0</v>
      </c>
      <c r="M98" s="166"/>
      <c r="N98" s="156"/>
      <c r="O98" s="168" t="n">
        <v>6</v>
      </c>
      <c r="P98" s="166" t="n">
        <v>15858</v>
      </c>
      <c r="Q98" s="166" t="n">
        <f aca="false">R98+S98</f>
        <v>21936.9</v>
      </c>
      <c r="R98" s="166" t="n">
        <v>21936.9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72"/>
      <c r="B99" s="73" t="s">
        <v>76</v>
      </c>
      <c r="C99" s="74" t="s">
        <v>20</v>
      </c>
      <c r="D99" s="74" t="s">
        <v>180</v>
      </c>
      <c r="E99" s="74" t="s">
        <v>25</v>
      </c>
      <c r="F99" s="20"/>
      <c r="G99" s="146" t="s">
        <v>22</v>
      </c>
      <c r="H99" s="159" t="n">
        <v>14</v>
      </c>
      <c r="I99" s="148" t="n">
        <v>13</v>
      </c>
      <c r="J99" s="148" t="n">
        <v>13</v>
      </c>
      <c r="K99" s="149" t="n">
        <v>11302.97</v>
      </c>
      <c r="L99" s="149" t="n">
        <f aca="false">M99+N99</f>
        <v>5035.24</v>
      </c>
      <c r="M99" s="149" t="n">
        <v>5035.24</v>
      </c>
      <c r="N99" s="190"/>
      <c r="O99" s="151" t="n">
        <v>2</v>
      </c>
      <c r="P99" s="149" t="n">
        <v>12380.09</v>
      </c>
      <c r="Q99" s="149" t="n">
        <f aca="false">R99+S99</f>
        <v>12380.09</v>
      </c>
      <c r="R99" s="149" t="n">
        <v>12380.09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 t="s">
        <v>181</v>
      </c>
      <c r="G100" s="164" t="s">
        <v>26</v>
      </c>
      <c r="H100" s="171" t="n">
        <v>7</v>
      </c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8457.6</v>
      </c>
      <c r="Q100" s="166" t="n">
        <f aca="false">R100+S100</f>
        <v>7488.5</v>
      </c>
      <c r="R100" s="165" t="n">
        <v>6431.3</v>
      </c>
      <c r="S100" s="156" t="n">
        <v>1057.2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17"/>
      <c r="B101" s="18" t="s">
        <v>77</v>
      </c>
      <c r="C101" s="19" t="s">
        <v>38</v>
      </c>
      <c r="D101" s="19" t="s">
        <v>78</v>
      </c>
      <c r="E101" s="19" t="s">
        <v>25</v>
      </c>
      <c r="F101" s="22"/>
      <c r="G101" s="146" t="s">
        <v>22</v>
      </c>
      <c r="H101" s="169" t="n">
        <v>9</v>
      </c>
      <c r="I101" s="148" t="n">
        <v>8</v>
      </c>
      <c r="J101" s="148" t="n">
        <v>9</v>
      </c>
      <c r="K101" s="149" t="n">
        <v>7482.33</v>
      </c>
      <c r="L101" s="149" t="n">
        <f aca="false">M101+N101</f>
        <v>4148.63</v>
      </c>
      <c r="M101" s="149" t="n">
        <v>4148.63</v>
      </c>
      <c r="N101" s="190"/>
      <c r="O101" s="151" t="n">
        <v>7</v>
      </c>
      <c r="P101" s="149" t="n">
        <v>12808.33</v>
      </c>
      <c r="Q101" s="149" t="n">
        <f aca="false">R101+S101</f>
        <v>8651.42</v>
      </c>
      <c r="R101" s="149" t="n">
        <v>8651.42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 t="s">
        <v>182</v>
      </c>
      <c r="G102" s="180" t="s">
        <v>26</v>
      </c>
      <c r="H102" s="159" t="n">
        <v>6</v>
      </c>
      <c r="I102" s="181" t="n">
        <v>1</v>
      </c>
      <c r="J102" s="181" t="n">
        <v>1</v>
      </c>
      <c r="K102" s="182" t="n">
        <v>4581.2</v>
      </c>
      <c r="L102" s="182" t="n">
        <f aca="false">M102+N102</f>
        <v>0</v>
      </c>
      <c r="M102" s="182"/>
      <c r="N102" s="167"/>
      <c r="O102" s="184" t="n">
        <v>8</v>
      </c>
      <c r="P102" s="182" t="n">
        <v>19029.6</v>
      </c>
      <c r="Q102" s="182" t="n">
        <f aca="false">R102+S102</f>
        <v>9514.8</v>
      </c>
      <c r="R102" s="182" t="n">
        <f aca="false">8986.2</f>
        <v>8986.2</v>
      </c>
      <c r="S102" s="167" t="n">
        <v>528.6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false" outlineLevel="0" collapsed="false">
      <c r="A103" s="17"/>
      <c r="B103" s="18"/>
      <c r="C103" s="18"/>
      <c r="D103" s="18"/>
      <c r="E103" s="18"/>
      <c r="F103" s="85" t="s">
        <v>237</v>
      </c>
      <c r="G103" s="185" t="s">
        <v>23</v>
      </c>
      <c r="H103" s="186" t="n">
        <v>2</v>
      </c>
      <c r="I103" s="154" t="n">
        <v>2</v>
      </c>
      <c r="J103" s="154" t="n">
        <v>2</v>
      </c>
      <c r="K103" s="155" t="n">
        <v>9338.6</v>
      </c>
      <c r="L103" s="155" t="n">
        <v>1585.8</v>
      </c>
      <c r="M103" s="155" t="n">
        <v>1585.8</v>
      </c>
      <c r="N103" s="156" t="n">
        <v>3347.8</v>
      </c>
      <c r="O103" s="157" t="n">
        <v>4</v>
      </c>
      <c r="P103" s="155" t="n">
        <v>8281.4</v>
      </c>
      <c r="Q103" s="155" t="n">
        <v>7752.8</v>
      </c>
      <c r="R103" s="155" t="n">
        <v>7752.8</v>
      </c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33"/>
      <c r="B104" s="34" t="s">
        <v>79</v>
      </c>
      <c r="C104" s="35" t="s">
        <v>20</v>
      </c>
      <c r="D104" s="35"/>
      <c r="E104" s="35" t="s">
        <v>52</v>
      </c>
      <c r="F104" s="38"/>
      <c r="G104" s="146" t="s">
        <v>22</v>
      </c>
      <c r="H104" s="159" t="n">
        <v>7</v>
      </c>
      <c r="I104" s="160" t="n">
        <v>2</v>
      </c>
      <c r="J104" s="160" t="n">
        <v>3</v>
      </c>
      <c r="K104" s="161" t="n">
        <v>5452.69</v>
      </c>
      <c r="L104" s="161" t="n">
        <f aca="false">M104+N104</f>
        <v>5452.69</v>
      </c>
      <c r="M104" s="161" t="n">
        <v>5452.69</v>
      </c>
      <c r="N104" s="190"/>
      <c r="O104" s="163" t="n">
        <v>9</v>
      </c>
      <c r="P104" s="161" t="n">
        <v>33475.92</v>
      </c>
      <c r="Q104" s="161" t="n">
        <f aca="false">R104+S104</f>
        <v>23178.94</v>
      </c>
      <c r="R104" s="161" t="n">
        <v>23178.94</v>
      </c>
      <c r="S104" s="19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164" t="s">
        <v>26</v>
      </c>
      <c r="H105" s="153"/>
      <c r="I105" s="165"/>
      <c r="J105" s="165"/>
      <c r="K105" s="166"/>
      <c r="L105" s="166" t="n">
        <f aca="false">M105+N105</f>
        <v>0</v>
      </c>
      <c r="M105" s="166"/>
      <c r="N105" s="156"/>
      <c r="O105" s="168"/>
      <c r="P105" s="166"/>
      <c r="Q105" s="166" t="n">
        <f aca="false">R105+S105</f>
        <v>0</v>
      </c>
      <c r="R105" s="166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72"/>
      <c r="B106" s="73" t="s">
        <v>80</v>
      </c>
      <c r="C106" s="74" t="s">
        <v>20</v>
      </c>
      <c r="D106" s="74"/>
      <c r="E106" s="74" t="s">
        <v>81</v>
      </c>
      <c r="F106" s="20"/>
      <c r="G106" s="146" t="s">
        <v>22</v>
      </c>
      <c r="H106" s="159" t="n">
        <v>6</v>
      </c>
      <c r="I106" s="148" t="n">
        <v>3</v>
      </c>
      <c r="J106" s="148" t="n">
        <v>4</v>
      </c>
      <c r="K106" s="149" t="n">
        <v>6657.21</v>
      </c>
      <c r="L106" s="149" t="n">
        <f aca="false">M106+N106</f>
        <v>4345.8</v>
      </c>
      <c r="M106" s="149" t="n">
        <v>3473.61</v>
      </c>
      <c r="N106" s="190" t="n">
        <v>872.19</v>
      </c>
      <c r="O106" s="151"/>
      <c r="P106" s="149"/>
      <c r="Q106" s="149" t="n">
        <f aca="false">R106+S106</f>
        <v>0</v>
      </c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72"/>
      <c r="B107" s="73"/>
      <c r="C107" s="73"/>
      <c r="D107" s="73"/>
      <c r="E107" s="73"/>
      <c r="F107" s="42" t="s">
        <v>183</v>
      </c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/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17"/>
      <c r="B108" s="18" t="s">
        <v>82</v>
      </c>
      <c r="C108" s="19" t="s">
        <v>20</v>
      </c>
      <c r="D108" s="19" t="s">
        <v>184</v>
      </c>
      <c r="E108" s="19" t="s">
        <v>25</v>
      </c>
      <c r="F108" s="22"/>
      <c r="G108" s="146" t="s">
        <v>22</v>
      </c>
      <c r="H108" s="159" t="n">
        <v>22</v>
      </c>
      <c r="I108" s="148" t="n">
        <v>21</v>
      </c>
      <c r="J108" s="148" t="n">
        <v>25</v>
      </c>
      <c r="K108" s="149" t="n">
        <v>26926.74</v>
      </c>
      <c r="L108" s="149" t="n">
        <f aca="false">M108+N108</f>
        <v>15002.32</v>
      </c>
      <c r="M108" s="149" t="n">
        <v>15002.32</v>
      </c>
      <c r="N108" s="190"/>
      <c r="O108" s="151" t="n">
        <v>3</v>
      </c>
      <c r="P108" s="149" t="n">
        <v>16087.08</v>
      </c>
      <c r="Q108" s="149" t="n">
        <f aca="false">R108+S108</f>
        <v>8372.97</v>
      </c>
      <c r="R108" s="149" t="n">
        <v>8372.97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42" t="s">
        <v>185</v>
      </c>
      <c r="G109" s="164" t="s">
        <v>26</v>
      </c>
      <c r="H109" s="175" t="n">
        <v>3</v>
      </c>
      <c r="I109" s="165" t="n">
        <v>2</v>
      </c>
      <c r="J109" s="165" t="n">
        <v>2</v>
      </c>
      <c r="K109" s="166" t="n">
        <v>6519.4</v>
      </c>
      <c r="L109" s="166" t="n">
        <f aca="false">M109+N109</f>
        <v>0</v>
      </c>
      <c r="M109" s="166"/>
      <c r="N109" s="156"/>
      <c r="O109" s="168" t="n">
        <v>2</v>
      </c>
      <c r="P109" s="166" t="n">
        <v>3171.6</v>
      </c>
      <c r="Q109" s="166" t="n">
        <f aca="false">R109+S109</f>
        <v>2643</v>
      </c>
      <c r="R109" s="166" t="n">
        <f aca="false">2643</f>
        <v>2643</v>
      </c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232"/>
      <c r="B110" s="233" t="s">
        <v>254</v>
      </c>
      <c r="C110" s="19" t="s">
        <v>20</v>
      </c>
      <c r="D110" s="19"/>
      <c r="E110" s="19" t="s">
        <v>25</v>
      </c>
      <c r="F110" s="20"/>
      <c r="G110" s="146" t="s">
        <v>22</v>
      </c>
      <c r="H110" s="173"/>
      <c r="I110" s="148"/>
      <c r="J110" s="148"/>
      <c r="K110" s="149"/>
      <c r="L110" s="149"/>
      <c r="M110" s="149"/>
      <c r="N110" s="190"/>
      <c r="O110" s="206"/>
      <c r="P110" s="149"/>
      <c r="Q110" s="149"/>
      <c r="R110" s="149"/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" hidden="false" customHeight="false" outlineLevel="0" collapsed="false">
      <c r="A111" s="232"/>
      <c r="B111" s="233"/>
      <c r="C111" s="19"/>
      <c r="D111" s="19"/>
      <c r="E111" s="19"/>
      <c r="F111" s="26" t="s">
        <v>271</v>
      </c>
      <c r="G111" s="152" t="s">
        <v>26</v>
      </c>
      <c r="H111" s="174" t="n">
        <v>4</v>
      </c>
      <c r="I111" s="154"/>
      <c r="J111" s="154"/>
      <c r="K111" s="155"/>
      <c r="L111" s="155"/>
      <c r="M111" s="155"/>
      <c r="N111" s="156"/>
      <c r="O111" s="209"/>
      <c r="P111" s="155"/>
      <c r="Q111" s="155"/>
      <c r="R111" s="155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54"/>
      <c r="B112" s="55" t="s">
        <v>83</v>
      </c>
      <c r="C112" s="56" t="s">
        <v>20</v>
      </c>
      <c r="D112" s="56"/>
      <c r="E112" s="56" t="s">
        <v>25</v>
      </c>
      <c r="F112" s="36"/>
      <c r="G112" s="158" t="s">
        <v>22</v>
      </c>
      <c r="H112" s="159" t="n">
        <v>12</v>
      </c>
      <c r="I112" s="160" t="n">
        <v>9</v>
      </c>
      <c r="J112" s="160" t="n">
        <v>9</v>
      </c>
      <c r="K112" s="161" t="n">
        <v>9100.55</v>
      </c>
      <c r="L112" s="161" t="n">
        <f aca="false">M112+N112</f>
        <v>6281.55</v>
      </c>
      <c r="M112" s="161" t="n">
        <v>6281.55</v>
      </c>
      <c r="N112" s="190"/>
      <c r="O112" s="163" t="n">
        <v>4</v>
      </c>
      <c r="P112" s="161" t="n">
        <v>12699.66</v>
      </c>
      <c r="Q112" s="161" t="n">
        <f aca="false">R112+S112</f>
        <v>10585.46</v>
      </c>
      <c r="R112" s="161" t="n">
        <v>10585.46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54"/>
      <c r="B113" s="55"/>
      <c r="C113" s="55"/>
      <c r="D113" s="55"/>
      <c r="E113" s="55"/>
      <c r="F113" s="26" t="s">
        <v>186</v>
      </c>
      <c r="G113" s="152" t="s">
        <v>26</v>
      </c>
      <c r="H113" s="153" t="n">
        <v>4</v>
      </c>
      <c r="I113" s="154"/>
      <c r="J113" s="154"/>
      <c r="K113" s="155"/>
      <c r="L113" s="155" t="n">
        <f aca="false">M113+N113</f>
        <v>0</v>
      </c>
      <c r="M113" s="155"/>
      <c r="N113" s="156"/>
      <c r="O113" s="157" t="n">
        <v>8</v>
      </c>
      <c r="P113" s="155" t="n">
        <v>11805.4</v>
      </c>
      <c r="Q113" s="155" t="n">
        <f aca="false">R113+S113</f>
        <v>0</v>
      </c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33"/>
      <c r="B114" s="34" t="s">
        <v>84</v>
      </c>
      <c r="C114" s="35" t="s">
        <v>20</v>
      </c>
      <c r="D114" s="35"/>
      <c r="E114" s="35" t="s">
        <v>52</v>
      </c>
      <c r="F114" s="36"/>
      <c r="G114" s="146" t="s">
        <v>22</v>
      </c>
      <c r="H114" s="159" t="n">
        <v>24</v>
      </c>
      <c r="I114" s="160" t="n">
        <v>15</v>
      </c>
      <c r="J114" s="160" t="n">
        <v>22</v>
      </c>
      <c r="K114" s="161" t="n">
        <v>39989.79</v>
      </c>
      <c r="L114" s="161" t="n">
        <f aca="false">M114+N114</f>
        <v>12299.99</v>
      </c>
      <c r="M114" s="161" t="n">
        <v>12299.99</v>
      </c>
      <c r="N114" s="190"/>
      <c r="O114" s="163" t="n">
        <v>26</v>
      </c>
      <c r="P114" s="161" t="n">
        <v>50568.54</v>
      </c>
      <c r="Q114" s="161" t="n">
        <f aca="false">R114+S114</f>
        <v>32814.22</v>
      </c>
      <c r="R114" s="161" t="n">
        <v>32814.22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33"/>
      <c r="B115" s="34"/>
      <c r="C115" s="34"/>
      <c r="D115" s="34"/>
      <c r="E115" s="34"/>
      <c r="F115" s="71"/>
      <c r="G115" s="164" t="s">
        <v>26</v>
      </c>
      <c r="H115" s="153"/>
      <c r="I115" s="165"/>
      <c r="J115" s="165"/>
      <c r="K115" s="166"/>
      <c r="L115" s="166" t="n">
        <f aca="false">M115+N115</f>
        <v>0</v>
      </c>
      <c r="M115" s="166"/>
      <c r="N115" s="156"/>
      <c r="O115" s="168"/>
      <c r="P115" s="166"/>
      <c r="Q115" s="166" t="n">
        <f aca="false">R115+S115</f>
        <v>0</v>
      </c>
      <c r="R115" s="166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85</v>
      </c>
      <c r="C116" s="19" t="s">
        <v>20</v>
      </c>
      <c r="D116" s="19"/>
      <c r="E116" s="19" t="s">
        <v>25</v>
      </c>
      <c r="F116" s="87"/>
      <c r="G116" s="146" t="s">
        <v>22</v>
      </c>
      <c r="H116" s="169" t="n">
        <v>3</v>
      </c>
      <c r="I116" s="148" t="n">
        <v>1</v>
      </c>
      <c r="J116" s="148" t="n">
        <v>1</v>
      </c>
      <c r="K116" s="149" t="n">
        <v>528.6</v>
      </c>
      <c r="L116" s="149" t="n">
        <f aca="false">M116+N116</f>
        <v>528.6</v>
      </c>
      <c r="M116" s="149" t="n">
        <v>528.6</v>
      </c>
      <c r="N116" s="190"/>
      <c r="O116" s="151" t="n">
        <v>1</v>
      </c>
      <c r="P116" s="149" t="n">
        <v>1162.92</v>
      </c>
      <c r="Q116" s="149" t="n">
        <f aca="false">R116+S116</f>
        <v>1162.92</v>
      </c>
      <c r="R116" s="149" t="n">
        <v>1162.92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88"/>
      <c r="G117" s="152" t="s">
        <v>26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17"/>
      <c r="B118" s="73" t="s">
        <v>86</v>
      </c>
      <c r="C118" s="74" t="s">
        <v>33</v>
      </c>
      <c r="D118" s="74" t="s">
        <v>87</v>
      </c>
      <c r="E118" s="74" t="s">
        <v>88</v>
      </c>
      <c r="F118" s="20"/>
      <c r="G118" s="146" t="s">
        <v>22</v>
      </c>
      <c r="H118" s="169" t="n">
        <v>21</v>
      </c>
      <c r="I118" s="148" t="n">
        <v>14</v>
      </c>
      <c r="J118" s="148" t="n">
        <v>16</v>
      </c>
      <c r="K118" s="149" t="n">
        <v>18151.65</v>
      </c>
      <c r="L118" s="149" t="n">
        <f aca="false">M118+N118</f>
        <v>17200.17</v>
      </c>
      <c r="M118" s="149" t="n">
        <v>11020.18</v>
      </c>
      <c r="N118" s="190" t="n">
        <v>6179.99</v>
      </c>
      <c r="O118" s="151" t="n">
        <v>15</v>
      </c>
      <c r="P118" s="149" t="n">
        <v>19146</v>
      </c>
      <c r="Q118" s="149" t="n">
        <f aca="false">R118+S118</f>
        <v>12627.56</v>
      </c>
      <c r="R118" s="149" t="n">
        <v>12627.56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73"/>
      <c r="C119" s="73"/>
      <c r="D119" s="73"/>
      <c r="E119" s="73"/>
      <c r="F119" s="42" t="s">
        <v>238</v>
      </c>
      <c r="G119" s="164" t="s">
        <v>23</v>
      </c>
      <c r="H119" s="171" t="n">
        <v>18</v>
      </c>
      <c r="I119" s="165" t="n">
        <v>8</v>
      </c>
      <c r="J119" s="165" t="n">
        <v>8</v>
      </c>
      <c r="K119" s="166" t="n">
        <v>9162.4</v>
      </c>
      <c r="L119" s="166" t="n">
        <v>5990.8</v>
      </c>
      <c r="M119" s="166" t="n">
        <v>5990.8</v>
      </c>
      <c r="N119" s="156"/>
      <c r="O119" s="168" t="n">
        <v>11</v>
      </c>
      <c r="P119" s="166" t="n">
        <v>27927.7</v>
      </c>
      <c r="Q119" s="166" t="n">
        <v>20527.3</v>
      </c>
      <c r="R119" s="166" t="n">
        <v>20527.3</v>
      </c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89</v>
      </c>
      <c r="C120" s="19" t="s">
        <v>20</v>
      </c>
      <c r="D120" s="19" t="s">
        <v>90</v>
      </c>
      <c r="E120" s="19" t="s">
        <v>42</v>
      </c>
      <c r="F120" s="20"/>
      <c r="G120" s="146" t="s">
        <v>22</v>
      </c>
      <c r="H120" s="159" t="n">
        <v>21</v>
      </c>
      <c r="I120" s="148" t="n">
        <v>11</v>
      </c>
      <c r="J120" s="148" t="n">
        <v>13</v>
      </c>
      <c r="K120" s="149" t="n">
        <v>37713.9</v>
      </c>
      <c r="L120" s="149" t="n">
        <f aca="false">M120+N120</f>
        <v>17842.41</v>
      </c>
      <c r="M120" s="149" t="n">
        <v>17842.41</v>
      </c>
      <c r="N120" s="190"/>
      <c r="O120" s="151" t="n">
        <v>17</v>
      </c>
      <c r="P120" s="149" t="n">
        <v>59042.51</v>
      </c>
      <c r="Q120" s="149" t="n">
        <f aca="false">R120+S120</f>
        <v>51532.2</v>
      </c>
      <c r="R120" s="149" t="n">
        <v>51532.2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26" t="s">
        <v>239</v>
      </c>
      <c r="G121" s="152" t="s">
        <v>23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33"/>
      <c r="B122" s="34" t="s">
        <v>91</v>
      </c>
      <c r="C122" s="35" t="s">
        <v>33</v>
      </c>
      <c r="D122" s="35" t="s">
        <v>92</v>
      </c>
      <c r="E122" s="35" t="s">
        <v>25</v>
      </c>
      <c r="F122" s="38" t="s">
        <v>239</v>
      </c>
      <c r="G122" s="146" t="s">
        <v>22</v>
      </c>
      <c r="H122" s="159" t="n">
        <v>19</v>
      </c>
      <c r="I122" s="160" t="n">
        <v>8</v>
      </c>
      <c r="J122" s="160" t="n">
        <v>8</v>
      </c>
      <c r="K122" s="161" t="n">
        <v>23468.7</v>
      </c>
      <c r="L122" s="161" t="n">
        <f aca="false">M122+N122</f>
        <v>11259.18</v>
      </c>
      <c r="M122" s="161" t="n">
        <v>4915.98</v>
      </c>
      <c r="N122" s="190" t="n">
        <v>6343.2</v>
      </c>
      <c r="O122" s="163" t="n">
        <v>12</v>
      </c>
      <c r="P122" s="161" t="n">
        <v>78950.02</v>
      </c>
      <c r="Q122" s="161" t="n">
        <f aca="false">R122+S122</f>
        <v>59549.41</v>
      </c>
      <c r="R122" s="161" t="n">
        <v>55873.9</v>
      </c>
      <c r="S122" s="190" t="n">
        <v>3675.51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33"/>
      <c r="B123" s="34"/>
      <c r="C123" s="34"/>
      <c r="D123" s="34"/>
      <c r="E123" s="34"/>
      <c r="F123" s="89"/>
      <c r="G123" s="187" t="s">
        <v>23</v>
      </c>
      <c r="H123" s="169"/>
      <c r="I123" s="188"/>
      <c r="J123" s="188"/>
      <c r="K123" s="189"/>
      <c r="L123" s="189" t="n">
        <f aca="false">M123+N123</f>
        <v>0</v>
      </c>
      <c r="M123" s="189"/>
      <c r="N123" s="167"/>
      <c r="O123" s="191"/>
      <c r="P123" s="189"/>
      <c r="Q123" s="189" t="n">
        <f aca="false">R123+S123</f>
        <v>0</v>
      </c>
      <c r="R123" s="189"/>
      <c r="S123" s="167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/>
      <c r="C124" s="34"/>
      <c r="D124" s="34"/>
      <c r="E124" s="34"/>
      <c r="F124" s="42" t="s">
        <v>187</v>
      </c>
      <c r="G124" s="164" t="s">
        <v>26</v>
      </c>
      <c r="H124" s="171" t="n">
        <v>5</v>
      </c>
      <c r="I124" s="165" t="n">
        <v>1</v>
      </c>
      <c r="J124" s="165" t="n">
        <v>2</v>
      </c>
      <c r="K124" s="166" t="n">
        <v>4193.56</v>
      </c>
      <c r="L124" s="166" t="n">
        <f aca="false">M124+N124</f>
        <v>2290.6</v>
      </c>
      <c r="M124" s="166" t="n">
        <f aca="false">2266.65+23.95</f>
        <v>2290.6</v>
      </c>
      <c r="N124" s="156"/>
      <c r="O124" s="168" t="n">
        <v>7</v>
      </c>
      <c r="P124" s="166" t="n">
        <v>29143.12</v>
      </c>
      <c r="Q124" s="166" t="n">
        <f aca="false">R124+S124</f>
        <v>29143.48</v>
      </c>
      <c r="R124" s="166" t="n">
        <f aca="false">29167.43-47.9+23.95</f>
        <v>29143.48</v>
      </c>
      <c r="S124" s="156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 t="s">
        <v>93</v>
      </c>
      <c r="C125" s="19" t="s">
        <v>20</v>
      </c>
      <c r="D125" s="49"/>
      <c r="E125" s="19" t="s">
        <v>50</v>
      </c>
      <c r="F125" s="87"/>
      <c r="G125" s="146" t="s">
        <v>22</v>
      </c>
      <c r="H125" s="169" t="n">
        <v>6</v>
      </c>
      <c r="I125" s="148"/>
      <c r="J125" s="148"/>
      <c r="K125" s="149"/>
      <c r="L125" s="149" t="n">
        <f aca="false">M125+N125</f>
        <v>0</v>
      </c>
      <c r="M125" s="149"/>
      <c r="N125" s="190"/>
      <c r="O125" s="151"/>
      <c r="P125" s="149"/>
      <c r="Q125" s="149" t="n">
        <f aca="false">R125+S125</f>
        <v>0</v>
      </c>
      <c r="R125" s="149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88" t="s">
        <v>188</v>
      </c>
      <c r="G126" s="152" t="s">
        <v>26</v>
      </c>
      <c r="H126" s="171" t="n">
        <v>6</v>
      </c>
      <c r="I126" s="154"/>
      <c r="J126" s="154"/>
      <c r="K126" s="155"/>
      <c r="L126" s="155" t="n">
        <f aca="false">M126+N126</f>
        <v>0</v>
      </c>
      <c r="M126" s="155"/>
      <c r="N126" s="156"/>
      <c r="O126" s="157"/>
      <c r="P126" s="155"/>
      <c r="Q126" s="155" t="n">
        <f aca="false">R126+S126</f>
        <v>0</v>
      </c>
      <c r="R126" s="155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" hidden="false" customHeight="true" outlineLevel="0" collapsed="false">
      <c r="A127" s="54"/>
      <c r="B127" s="55" t="s">
        <v>94</v>
      </c>
      <c r="C127" s="56" t="s">
        <v>20</v>
      </c>
      <c r="D127" s="56"/>
      <c r="E127" s="56" t="s">
        <v>52</v>
      </c>
      <c r="F127" s="36"/>
      <c r="G127" s="158" t="s">
        <v>22</v>
      </c>
      <c r="H127" s="159" t="n">
        <v>9</v>
      </c>
      <c r="I127" s="160" t="n">
        <v>5</v>
      </c>
      <c r="J127" s="160" t="n">
        <v>5</v>
      </c>
      <c r="K127" s="161" t="n">
        <v>4891.75</v>
      </c>
      <c r="L127" s="161" t="n">
        <f aca="false">M127+N127</f>
        <v>2133.78</v>
      </c>
      <c r="M127" s="161" t="n">
        <v>2133.78</v>
      </c>
      <c r="N127" s="190"/>
      <c r="O127" s="163" t="n">
        <v>8</v>
      </c>
      <c r="P127" s="161" t="n">
        <v>22293.04</v>
      </c>
      <c r="Q127" s="161" t="n">
        <f aca="false">R127+S127</f>
        <v>17787.53</v>
      </c>
      <c r="R127" s="161" t="n">
        <v>17787.53</v>
      </c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54"/>
      <c r="B128" s="55"/>
      <c r="C128" s="55"/>
      <c r="D128" s="55"/>
      <c r="E128" s="55"/>
      <c r="F128" s="42" t="s">
        <v>189</v>
      </c>
      <c r="G128" s="164" t="s">
        <v>26</v>
      </c>
      <c r="H128" s="171" t="n">
        <v>10</v>
      </c>
      <c r="I128" s="154" t="n">
        <v>1</v>
      </c>
      <c r="J128" s="154" t="n">
        <v>1</v>
      </c>
      <c r="K128" s="155" t="n">
        <v>2446.8</v>
      </c>
      <c r="L128" s="155" t="n">
        <f aca="false">M128+N128</f>
        <v>0</v>
      </c>
      <c r="M128" s="155"/>
      <c r="N128" s="156"/>
      <c r="O128" s="157" t="n">
        <v>5</v>
      </c>
      <c r="P128" s="155" t="n">
        <v>6871.8</v>
      </c>
      <c r="Q128" s="155" t="n">
        <f aca="false">R128+S128</f>
        <v>1585.8</v>
      </c>
      <c r="R128" s="155" t="n">
        <v>1585.8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33"/>
      <c r="B129" s="34" t="s">
        <v>95</v>
      </c>
      <c r="C129" s="35" t="s">
        <v>33</v>
      </c>
      <c r="D129" s="35" t="s">
        <v>96</v>
      </c>
      <c r="E129" s="35" t="s">
        <v>88</v>
      </c>
      <c r="F129" s="22"/>
      <c r="G129" s="146" t="s">
        <v>22</v>
      </c>
      <c r="H129" s="159" t="n">
        <v>14</v>
      </c>
      <c r="I129" s="160" t="n">
        <v>8</v>
      </c>
      <c r="J129" s="192" t="n">
        <v>8</v>
      </c>
      <c r="K129" s="161" t="n">
        <v>11316.44</v>
      </c>
      <c r="L129" s="161" t="n">
        <f aca="false">M129+N129</f>
        <v>11316.44</v>
      </c>
      <c r="M129" s="161" t="n">
        <v>11316.44</v>
      </c>
      <c r="N129" s="190"/>
      <c r="O129" s="163"/>
      <c r="P129" s="161"/>
      <c r="Q129" s="161" t="n">
        <f aca="false">R129+S129</f>
        <v>0</v>
      </c>
      <c r="R129" s="161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33"/>
      <c r="B130" s="34"/>
      <c r="C130" s="34"/>
      <c r="D130" s="34"/>
      <c r="E130" s="34"/>
      <c r="F130" s="42" t="s">
        <v>240</v>
      </c>
      <c r="G130" s="164" t="s">
        <v>23</v>
      </c>
      <c r="H130" s="171" t="n">
        <v>6</v>
      </c>
      <c r="I130" s="165" t="n">
        <v>4</v>
      </c>
      <c r="J130" s="165" t="n">
        <v>4</v>
      </c>
      <c r="K130" s="166" t="n">
        <v>2114.4</v>
      </c>
      <c r="L130" s="166" t="n">
        <f aca="false">M130+N130</f>
        <v>0</v>
      </c>
      <c r="M130" s="166"/>
      <c r="N130" s="156"/>
      <c r="O130" s="168" t="n">
        <v>2</v>
      </c>
      <c r="P130" s="166" t="n">
        <v>6167</v>
      </c>
      <c r="Q130" s="166" t="n">
        <f aca="false">R130+S130</f>
        <v>0</v>
      </c>
      <c r="R130" s="166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72"/>
      <c r="B131" s="73" t="s">
        <v>97</v>
      </c>
      <c r="C131" s="74" t="s">
        <v>20</v>
      </c>
      <c r="D131" s="74"/>
      <c r="E131" s="74" t="s">
        <v>98</v>
      </c>
      <c r="F131" s="20"/>
      <c r="G131" s="146" t="s">
        <v>22</v>
      </c>
      <c r="H131" s="159" t="n">
        <v>7</v>
      </c>
      <c r="I131" s="148" t="n">
        <v>5</v>
      </c>
      <c r="J131" s="148" t="n">
        <v>5</v>
      </c>
      <c r="K131" s="149" t="n">
        <v>6540.54</v>
      </c>
      <c r="L131" s="149" t="n">
        <f aca="false">M131+N131</f>
        <v>6540.54</v>
      </c>
      <c r="M131" s="149" t="n">
        <v>2223.64</v>
      </c>
      <c r="N131" s="190" t="n">
        <v>4316.9</v>
      </c>
      <c r="O131" s="151" t="n">
        <v>9</v>
      </c>
      <c r="P131" s="149" t="n">
        <v>43045.94</v>
      </c>
      <c r="Q131" s="149" t="n">
        <f aca="false">R131+S131</f>
        <v>26155.25</v>
      </c>
      <c r="R131" s="149" t="n">
        <v>19174.92</v>
      </c>
      <c r="S131" s="190" t="n">
        <v>6980.33</v>
      </c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72"/>
      <c r="B132" s="73"/>
      <c r="C132" s="73"/>
      <c r="D132" s="73"/>
      <c r="E132" s="73"/>
      <c r="F132" s="42" t="s">
        <v>241</v>
      </c>
      <c r="G132" s="164" t="s">
        <v>23</v>
      </c>
      <c r="H132" s="172" t="n">
        <v>16</v>
      </c>
      <c r="I132" s="165" t="n">
        <v>14</v>
      </c>
      <c r="J132" s="165" t="n">
        <v>14</v>
      </c>
      <c r="K132" s="166" t="n">
        <v>12510.2</v>
      </c>
      <c r="L132" s="166" t="n">
        <v>2605.89</v>
      </c>
      <c r="M132" s="166" t="n">
        <v>2605.89</v>
      </c>
      <c r="N132" s="156" t="n">
        <v>565.71</v>
      </c>
      <c r="O132" s="168" t="n">
        <v>11</v>
      </c>
      <c r="P132" s="166" t="n">
        <v>28192</v>
      </c>
      <c r="Q132" s="166" t="n">
        <v>18677.2</v>
      </c>
      <c r="R132" s="166" t="n">
        <v>18677.2</v>
      </c>
      <c r="S132" s="156" t="n">
        <v>2643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 t="s">
        <v>156</v>
      </c>
      <c r="C133" s="19"/>
      <c r="D133" s="19"/>
      <c r="E133" s="19"/>
      <c r="F133" s="20"/>
      <c r="G133" s="146" t="s">
        <v>22</v>
      </c>
      <c r="H133" s="173" t="n">
        <v>22</v>
      </c>
      <c r="I133" s="148" t="n">
        <v>16</v>
      </c>
      <c r="J133" s="148" t="n">
        <v>20</v>
      </c>
      <c r="K133" s="149" t="n">
        <v>55268.48</v>
      </c>
      <c r="L133" s="149" t="n">
        <f aca="false">M133+N133</f>
        <v>14834.62</v>
      </c>
      <c r="M133" s="149" t="n">
        <v>14834.62</v>
      </c>
      <c r="N133" s="190"/>
      <c r="O133" s="151"/>
      <c r="P133" s="149"/>
      <c r="Q133" s="149" t="n">
        <f aca="false">R133+S133</f>
        <v>0</v>
      </c>
      <c r="R133" s="149"/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89" t="s">
        <v>272</v>
      </c>
      <c r="G134" s="187" t="s">
        <v>26</v>
      </c>
      <c r="H134" s="172" t="n">
        <v>10</v>
      </c>
      <c r="I134" s="188" t="n">
        <v>5</v>
      </c>
      <c r="J134" s="188" t="n">
        <v>5</v>
      </c>
      <c r="K134" s="189" t="n">
        <v>4754.4</v>
      </c>
      <c r="L134" s="189" t="n">
        <f aca="false">M134+N134</f>
        <v>1233.4</v>
      </c>
      <c r="M134" s="189" t="n">
        <f aca="false">1233.4</f>
        <v>1233.4</v>
      </c>
      <c r="N134" s="167"/>
      <c r="O134" s="191"/>
      <c r="P134" s="189"/>
      <c r="Q134" s="189" t="n">
        <f aca="false">R134+S134</f>
        <v>0</v>
      </c>
      <c r="R134" s="189"/>
      <c r="S134" s="167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/>
      <c r="C135" s="18"/>
      <c r="D135" s="18"/>
      <c r="E135" s="18"/>
      <c r="F135" s="71"/>
      <c r="G135" s="164" t="s">
        <v>23</v>
      </c>
      <c r="H135" s="177"/>
      <c r="I135" s="165"/>
      <c r="J135" s="165"/>
      <c r="K135" s="166"/>
      <c r="L135" s="166" t="n">
        <f aca="false">M135+N135</f>
        <v>0</v>
      </c>
      <c r="M135" s="166"/>
      <c r="N135" s="156"/>
      <c r="O135" s="168"/>
      <c r="P135" s="166"/>
      <c r="Q135" s="166" t="n">
        <f aca="false">R135+S135</f>
        <v>0</v>
      </c>
      <c r="R135" s="166"/>
      <c r="S135" s="156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 t="s">
        <v>190</v>
      </c>
      <c r="C136" s="19"/>
      <c r="D136" s="19"/>
      <c r="E136" s="19"/>
      <c r="F136" s="20"/>
      <c r="G136" s="146" t="s">
        <v>22</v>
      </c>
      <c r="H136" s="173" t="n">
        <v>6</v>
      </c>
      <c r="I136" s="148"/>
      <c r="J136" s="148"/>
      <c r="K136" s="149"/>
      <c r="L136" s="149" t="n">
        <f aca="false">M136+N136</f>
        <v>0</v>
      </c>
      <c r="M136" s="149"/>
      <c r="N136" s="190"/>
      <c r="O136" s="151"/>
      <c r="P136" s="149"/>
      <c r="Q136" s="149" t="n">
        <f aca="false">R136+S136</f>
        <v>0</v>
      </c>
      <c r="R136" s="149"/>
      <c r="S136" s="190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26" t="s">
        <v>242</v>
      </c>
      <c r="G137" s="152" t="s">
        <v>23</v>
      </c>
      <c r="H137" s="174" t="n">
        <v>2</v>
      </c>
      <c r="I137" s="154"/>
      <c r="J137" s="154"/>
      <c r="K137" s="155"/>
      <c r="L137" s="155" t="n">
        <f aca="false">M137+N137</f>
        <v>0</v>
      </c>
      <c r="M137" s="155"/>
      <c r="N137" s="156"/>
      <c r="O137" s="157"/>
      <c r="P137" s="155"/>
      <c r="Q137" s="155" t="n">
        <f aca="false">R137+S137</f>
        <v>0</v>
      </c>
      <c r="R137" s="155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54"/>
      <c r="B138" s="55" t="s">
        <v>99</v>
      </c>
      <c r="C138" s="56" t="s">
        <v>33</v>
      </c>
      <c r="D138" s="56" t="s">
        <v>100</v>
      </c>
      <c r="E138" s="56" t="s">
        <v>101</v>
      </c>
      <c r="F138" s="36"/>
      <c r="G138" s="158" t="s">
        <v>22</v>
      </c>
      <c r="H138" s="159" t="n">
        <v>22</v>
      </c>
      <c r="I138" s="160" t="n">
        <v>17</v>
      </c>
      <c r="J138" s="160" t="n">
        <v>17</v>
      </c>
      <c r="K138" s="161" t="n">
        <v>5109.8</v>
      </c>
      <c r="L138" s="161" t="n">
        <f aca="false">M138+N138</f>
        <v>4757.4</v>
      </c>
      <c r="M138" s="161" t="n">
        <v>4493.1</v>
      </c>
      <c r="N138" s="190" t="n">
        <v>264.3</v>
      </c>
      <c r="O138" s="163" t="n">
        <v>22</v>
      </c>
      <c r="P138" s="161" t="n">
        <v>38323.95</v>
      </c>
      <c r="Q138" s="161" t="n">
        <f aca="false">R138+S138</f>
        <v>38323.95</v>
      </c>
      <c r="R138" s="161" t="n">
        <v>27295.59</v>
      </c>
      <c r="S138" s="190" t="n">
        <v>11028.36</v>
      </c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54"/>
      <c r="B139" s="55"/>
      <c r="C139" s="55"/>
      <c r="D139" s="55"/>
      <c r="E139" s="55"/>
      <c r="F139" s="80" t="s">
        <v>191</v>
      </c>
      <c r="G139" s="180" t="s">
        <v>26</v>
      </c>
      <c r="H139" s="169" t="n">
        <v>9</v>
      </c>
      <c r="I139" s="181" t="n">
        <v>5</v>
      </c>
      <c r="J139" s="181" t="n">
        <v>5</v>
      </c>
      <c r="K139" s="182" t="n">
        <v>4228.8</v>
      </c>
      <c r="L139" s="182" t="n">
        <f aca="false">M139+N139</f>
        <v>2643</v>
      </c>
      <c r="M139" s="182" t="n">
        <f aca="false">2643</f>
        <v>2643</v>
      </c>
      <c r="N139" s="167"/>
      <c r="O139" s="184" t="n">
        <v>3</v>
      </c>
      <c r="P139" s="182" t="n">
        <v>5374.1</v>
      </c>
      <c r="Q139" s="161" t="n">
        <f aca="false">R139+S139</f>
        <v>5374.1</v>
      </c>
      <c r="R139" s="182" t="n">
        <f aca="false">1673.9+3700.2</f>
        <v>5374.1</v>
      </c>
      <c r="S139" s="167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/>
      <c r="C140" s="55"/>
      <c r="D140" s="55"/>
      <c r="E140" s="55"/>
      <c r="F140" s="42"/>
      <c r="G140" s="164" t="s">
        <v>23</v>
      </c>
      <c r="H140" s="175"/>
      <c r="I140" s="165"/>
      <c r="J140" s="165"/>
      <c r="K140" s="166"/>
      <c r="L140" s="166" t="n">
        <f aca="false">M140+N140</f>
        <v>0</v>
      </c>
      <c r="M140" s="166"/>
      <c r="N140" s="156"/>
      <c r="O140" s="168"/>
      <c r="P140" s="166"/>
      <c r="Q140" s="166" t="n">
        <f aca="false">R140+S140</f>
        <v>0</v>
      </c>
      <c r="R140" s="166"/>
      <c r="S140" s="156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 t="s">
        <v>224</v>
      </c>
      <c r="C141" s="19"/>
      <c r="D141" s="19"/>
      <c r="E141" s="19"/>
      <c r="F141" s="20"/>
      <c r="G141" s="146" t="s">
        <v>22</v>
      </c>
      <c r="H141" s="147" t="n">
        <v>5</v>
      </c>
      <c r="I141" s="148" t="n">
        <v>3</v>
      </c>
      <c r="J141" s="148" t="n">
        <v>4</v>
      </c>
      <c r="K141" s="149" t="n">
        <v>4320.86</v>
      </c>
      <c r="L141" s="149" t="n">
        <f aca="false">M141+N141</f>
        <v>3968.46</v>
      </c>
      <c r="M141" s="149" t="n">
        <v>3968.46</v>
      </c>
      <c r="N141" s="190"/>
      <c r="O141" s="151"/>
      <c r="P141" s="149"/>
      <c r="Q141" s="149" t="n">
        <f aca="false">R141+S141</f>
        <v>0</v>
      </c>
      <c r="R141" s="149"/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273</v>
      </c>
      <c r="G142" s="152" t="s">
        <v>26</v>
      </c>
      <c r="H142" s="176" t="n">
        <v>4</v>
      </c>
      <c r="I142" s="154"/>
      <c r="J142" s="154"/>
      <c r="K142" s="155"/>
      <c r="L142" s="155" t="n">
        <f aca="false">M142+N142</f>
        <v>0</v>
      </c>
      <c r="M142" s="155"/>
      <c r="N142" s="156"/>
      <c r="O142" s="157"/>
      <c r="P142" s="155"/>
      <c r="Q142" s="155" t="n">
        <f aca="false">R142+S142</f>
        <v>0</v>
      </c>
      <c r="R142" s="155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33"/>
      <c r="B143" s="34" t="s">
        <v>102</v>
      </c>
      <c r="C143" s="35" t="s">
        <v>20</v>
      </c>
      <c r="D143" s="35"/>
      <c r="E143" s="35" t="s">
        <v>25</v>
      </c>
      <c r="F143" s="36"/>
      <c r="G143" s="158" t="s">
        <v>22</v>
      </c>
      <c r="H143" s="169" t="n">
        <v>17</v>
      </c>
      <c r="I143" s="160" t="n">
        <v>14</v>
      </c>
      <c r="J143" s="160" t="n">
        <v>14</v>
      </c>
      <c r="K143" s="161" t="n">
        <v>16139.92</v>
      </c>
      <c r="L143" s="161" t="n">
        <f aca="false">M143+N143</f>
        <v>14377.92</v>
      </c>
      <c r="M143" s="161" t="n">
        <v>14377.92</v>
      </c>
      <c r="N143" s="190"/>
      <c r="O143" s="163" t="n">
        <v>7</v>
      </c>
      <c r="P143" s="161" t="n">
        <v>27296.38</v>
      </c>
      <c r="Q143" s="161" t="n">
        <f aca="false">R143+S143</f>
        <v>20530.3</v>
      </c>
      <c r="R143" s="161" t="n">
        <v>20530.3</v>
      </c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42" t="s">
        <v>192</v>
      </c>
      <c r="G144" s="164" t="s">
        <v>26</v>
      </c>
      <c r="H144" s="153" t="n">
        <v>5</v>
      </c>
      <c r="I144" s="165" t="n">
        <v>2</v>
      </c>
      <c r="J144" s="165" t="n">
        <v>2</v>
      </c>
      <c r="K144" s="166" t="n">
        <v>7400.4</v>
      </c>
      <c r="L144" s="166" t="n">
        <f aca="false">M144+N144</f>
        <v>3700.2</v>
      </c>
      <c r="M144" s="166" t="n">
        <f aca="false">3700.2</f>
        <v>3700.2</v>
      </c>
      <c r="N144" s="156"/>
      <c r="O144" s="168" t="n">
        <v>4</v>
      </c>
      <c r="P144" s="166" t="n">
        <v>5286</v>
      </c>
      <c r="Q144" s="166" t="n">
        <f aca="false">R144+S144</f>
        <v>6519.4</v>
      </c>
      <c r="R144" s="166" t="n">
        <f aca="false">6519.4</f>
        <v>6519.4</v>
      </c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" hidden="false" customHeight="true" outlineLevel="0" collapsed="false">
      <c r="A145" s="17"/>
      <c r="B145" s="18" t="s">
        <v>103</v>
      </c>
      <c r="C145" s="19" t="s">
        <v>20</v>
      </c>
      <c r="D145" s="19"/>
      <c r="E145" s="19" t="s">
        <v>52</v>
      </c>
      <c r="F145" s="20"/>
      <c r="G145" s="146" t="s">
        <v>22</v>
      </c>
      <c r="H145" s="169" t="n">
        <v>2</v>
      </c>
      <c r="I145" s="148" t="n">
        <v>2</v>
      </c>
      <c r="J145" s="148" t="n">
        <v>3</v>
      </c>
      <c r="K145" s="149" t="n">
        <v>8028.11</v>
      </c>
      <c r="L145" s="149" t="n">
        <f aca="false">M145+N145</f>
        <v>8028.11</v>
      </c>
      <c r="M145" s="149" t="n">
        <v>1082.63</v>
      </c>
      <c r="N145" s="190" t="n">
        <v>6945.48</v>
      </c>
      <c r="O145" s="151" t="n">
        <v>9</v>
      </c>
      <c r="P145" s="149" t="n">
        <v>73918.94</v>
      </c>
      <c r="Q145" s="149" t="n">
        <f aca="false">R145+S145</f>
        <v>70386.17</v>
      </c>
      <c r="R145" s="149" t="n">
        <v>19139.98</v>
      </c>
      <c r="S145" s="190" t="n">
        <v>51246.19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193</v>
      </c>
      <c r="G146" s="152" t="s">
        <v>26</v>
      </c>
      <c r="H146" s="171" t="n">
        <v>10</v>
      </c>
      <c r="I146" s="154" t="n">
        <v>1</v>
      </c>
      <c r="J146" s="154" t="n">
        <v>1</v>
      </c>
      <c r="K146" s="155" t="n">
        <v>704.8</v>
      </c>
      <c r="L146" s="155" t="n">
        <f aca="false">M146+N146</f>
        <v>0</v>
      </c>
      <c r="M146" s="155"/>
      <c r="N146" s="156"/>
      <c r="O146" s="157" t="n">
        <v>4</v>
      </c>
      <c r="P146" s="155" t="n">
        <v>10925</v>
      </c>
      <c r="Q146" s="155" t="n">
        <f aca="false">R146+S146</f>
        <v>9867.04</v>
      </c>
      <c r="R146" s="155" t="n">
        <f aca="false">2290.6</f>
        <v>2290.6</v>
      </c>
      <c r="S146" s="156" t="n">
        <v>7576.44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54"/>
      <c r="B147" s="55" t="s">
        <v>104</v>
      </c>
      <c r="C147" s="56" t="s">
        <v>20</v>
      </c>
      <c r="D147" s="56"/>
      <c r="E147" s="56" t="s">
        <v>25</v>
      </c>
      <c r="F147" s="22"/>
      <c r="G147" s="146" t="s">
        <v>22</v>
      </c>
      <c r="H147" s="169"/>
      <c r="I147" s="160"/>
      <c r="J147" s="160"/>
      <c r="K147" s="161"/>
      <c r="L147" s="161" t="n">
        <f aca="false">M147+N147</f>
        <v>0</v>
      </c>
      <c r="M147" s="161"/>
      <c r="N147" s="190"/>
      <c r="O147" s="163" t="n">
        <v>2</v>
      </c>
      <c r="P147" s="161" t="n">
        <v>20088.08</v>
      </c>
      <c r="Q147" s="161" t="n">
        <f aca="false">R147+S147</f>
        <v>20088.08</v>
      </c>
      <c r="R147" s="161" t="n">
        <v>20088.08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54"/>
      <c r="B148" s="55"/>
      <c r="C148" s="55"/>
      <c r="D148" s="55"/>
      <c r="E148" s="55"/>
      <c r="F148" s="26" t="s">
        <v>281</v>
      </c>
      <c r="G148" s="152" t="s">
        <v>26</v>
      </c>
      <c r="H148" s="153" t="n">
        <v>2</v>
      </c>
      <c r="I148" s="154"/>
      <c r="J148" s="154"/>
      <c r="K148" s="155"/>
      <c r="L148" s="155" t="n">
        <f aca="false">M148+N148</f>
        <v>0</v>
      </c>
      <c r="M148" s="155"/>
      <c r="N148" s="156"/>
      <c r="O148" s="157"/>
      <c r="P148" s="155"/>
      <c r="Q148" s="155" t="n">
        <f aca="false">R148+S148</f>
        <v>0</v>
      </c>
      <c r="R148" s="155"/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33"/>
      <c r="B149" s="34" t="s">
        <v>105</v>
      </c>
      <c r="C149" s="35" t="s">
        <v>33</v>
      </c>
      <c r="D149" s="35" t="s">
        <v>106</v>
      </c>
      <c r="E149" s="35" t="s">
        <v>107</v>
      </c>
      <c r="F149" s="36"/>
      <c r="G149" s="146" t="s">
        <v>22</v>
      </c>
      <c r="H149" s="169" t="n">
        <v>6</v>
      </c>
      <c r="I149" s="160" t="n">
        <v>1</v>
      </c>
      <c r="J149" s="160" t="n">
        <v>1</v>
      </c>
      <c r="K149" s="161" t="n">
        <v>352.4</v>
      </c>
      <c r="L149" s="161" t="n">
        <f aca="false">M149+N149</f>
        <v>352.4</v>
      </c>
      <c r="M149" s="161"/>
      <c r="N149" s="190" t="n">
        <v>352.4</v>
      </c>
      <c r="O149" s="163" t="n">
        <v>10</v>
      </c>
      <c r="P149" s="161" t="n">
        <v>45624.44</v>
      </c>
      <c r="Q149" s="161" t="n">
        <f aca="false">R149+S149</f>
        <v>34610.73</v>
      </c>
      <c r="R149" s="161" t="n">
        <v>18435.62</v>
      </c>
      <c r="S149" s="190" t="n">
        <v>16175.11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33"/>
      <c r="B150" s="34"/>
      <c r="C150" s="34"/>
      <c r="D150" s="34"/>
      <c r="E150" s="34"/>
      <c r="F150" s="42" t="s">
        <v>194</v>
      </c>
      <c r="G150" s="164" t="s">
        <v>26</v>
      </c>
      <c r="H150" s="153" t="n">
        <v>2</v>
      </c>
      <c r="I150" s="165"/>
      <c r="J150" s="165"/>
      <c r="K150" s="166"/>
      <c r="L150" s="161" t="n">
        <f aca="false">M150+N150</f>
        <v>0</v>
      </c>
      <c r="M150" s="166" t="n">
        <v>0</v>
      </c>
      <c r="N150" s="156"/>
      <c r="O150" s="168" t="n">
        <v>6</v>
      </c>
      <c r="P150" s="166" t="n">
        <v>23645.16</v>
      </c>
      <c r="Q150" s="166" t="n">
        <f aca="false">R150+S150</f>
        <v>5682.4</v>
      </c>
      <c r="R150" s="166" t="n">
        <f aca="false">4801.4+881</f>
        <v>5682.4</v>
      </c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72"/>
      <c r="B151" s="73" t="s">
        <v>108</v>
      </c>
      <c r="C151" s="74" t="s">
        <v>33</v>
      </c>
      <c r="D151" s="74" t="s">
        <v>109</v>
      </c>
      <c r="E151" s="74" t="s">
        <v>25</v>
      </c>
      <c r="F151" s="20"/>
      <c r="G151" s="146" t="s">
        <v>22</v>
      </c>
      <c r="H151" s="159" t="n">
        <v>10</v>
      </c>
      <c r="I151" s="148" t="n">
        <v>7</v>
      </c>
      <c r="J151" s="148" t="n">
        <v>8</v>
      </c>
      <c r="K151" s="149" t="n">
        <v>13912.78</v>
      </c>
      <c r="L151" s="149" t="n">
        <f aca="false">M151+N151</f>
        <v>11519.11</v>
      </c>
      <c r="M151" s="149" t="n">
        <v>11519.11</v>
      </c>
      <c r="N151" s="190"/>
      <c r="O151" s="151" t="n">
        <v>20</v>
      </c>
      <c r="P151" s="149" t="n">
        <v>45849.4</v>
      </c>
      <c r="Q151" s="149" t="n">
        <f aca="false">R151+S151</f>
        <v>37928.86</v>
      </c>
      <c r="R151" s="149" t="n">
        <v>37928.86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 t="s">
        <v>195</v>
      </c>
      <c r="G152" s="164" t="s">
        <v>26</v>
      </c>
      <c r="H152" s="171" t="n">
        <v>9</v>
      </c>
      <c r="I152" s="165" t="n">
        <v>6</v>
      </c>
      <c r="J152" s="165" t="n">
        <v>6</v>
      </c>
      <c r="K152" s="166" t="n">
        <v>21743.08</v>
      </c>
      <c r="L152" s="166" t="n">
        <f aca="false">M152+N152</f>
        <v>10818.68</v>
      </c>
      <c r="M152" s="166" t="n">
        <f aca="false">6942.28</f>
        <v>6942.28</v>
      </c>
      <c r="N152" s="156" t="n">
        <f aca="false">3876.4</f>
        <v>3876.4</v>
      </c>
      <c r="O152" s="157" t="n">
        <v>11</v>
      </c>
      <c r="P152" s="155" t="n">
        <v>30218.3</v>
      </c>
      <c r="Q152" s="155" t="n">
        <f aca="false">R152+S152</f>
        <v>45706.28</v>
      </c>
      <c r="R152" s="155" t="n">
        <f aca="false">15329.4+14888.9</f>
        <v>30218.3</v>
      </c>
      <c r="S152" s="156" t="n">
        <v>15487.98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17"/>
      <c r="B153" s="18" t="s">
        <v>110</v>
      </c>
      <c r="C153" s="19" t="s">
        <v>33</v>
      </c>
      <c r="D153" s="19" t="s">
        <v>111</v>
      </c>
      <c r="E153" s="19" t="s">
        <v>25</v>
      </c>
      <c r="F153" s="20"/>
      <c r="G153" s="146" t="s">
        <v>22</v>
      </c>
      <c r="H153" s="159" t="n">
        <v>22</v>
      </c>
      <c r="I153" s="148" t="n">
        <v>19</v>
      </c>
      <c r="J153" s="193" t="n">
        <v>21</v>
      </c>
      <c r="K153" s="149" t="n">
        <v>21281.44</v>
      </c>
      <c r="L153" s="149" t="n">
        <f aca="false">M153+N153</f>
        <v>19498.3</v>
      </c>
      <c r="M153" s="149" t="n">
        <v>16881.73</v>
      </c>
      <c r="N153" s="190" t="n">
        <v>2616.57</v>
      </c>
      <c r="O153" s="163" t="n">
        <v>15</v>
      </c>
      <c r="P153" s="161" t="n">
        <v>58355.79</v>
      </c>
      <c r="Q153" s="161" t="n">
        <f aca="false">R153+S153</f>
        <v>50536.47</v>
      </c>
      <c r="R153" s="161" t="n">
        <v>44245.85</v>
      </c>
      <c r="S153" s="190" t="n">
        <v>6290.62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42" t="s">
        <v>196</v>
      </c>
      <c r="G154" s="164" t="s">
        <v>26</v>
      </c>
      <c r="H154" s="175" t="n">
        <v>4</v>
      </c>
      <c r="I154" s="165" t="n">
        <v>2</v>
      </c>
      <c r="J154" s="165" t="n">
        <v>1</v>
      </c>
      <c r="K154" s="166" t="n">
        <v>4405</v>
      </c>
      <c r="L154" s="166" t="n">
        <f aca="false">M154+N154</f>
        <v>0</v>
      </c>
      <c r="M154" s="166"/>
      <c r="N154" s="167"/>
      <c r="O154" s="168" t="n">
        <v>1</v>
      </c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40" t="s">
        <v>282</v>
      </c>
      <c r="C155" s="19" t="s">
        <v>33</v>
      </c>
      <c r="D155" s="19" t="s">
        <v>283</v>
      </c>
      <c r="E155" s="19" t="s">
        <v>284</v>
      </c>
      <c r="F155" s="20"/>
      <c r="G155" s="146" t="s">
        <v>22</v>
      </c>
      <c r="H155" s="173"/>
      <c r="I155" s="148"/>
      <c r="J155" s="148"/>
      <c r="K155" s="241"/>
      <c r="L155" s="241" t="n">
        <f aca="false">M155+N155</f>
        <v>0</v>
      </c>
      <c r="M155" s="241"/>
      <c r="N155" s="150"/>
      <c r="O155" s="206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40"/>
      <c r="C156" s="19"/>
      <c r="D156" s="19"/>
      <c r="E156" s="19"/>
      <c r="F156" s="26" t="s">
        <v>285</v>
      </c>
      <c r="G156" s="152" t="s">
        <v>23</v>
      </c>
      <c r="H156" s="174" t="n">
        <v>3</v>
      </c>
      <c r="I156" s="154"/>
      <c r="J156" s="154"/>
      <c r="K156" s="242"/>
      <c r="L156" s="242" t="n">
        <f aca="false">M156+N156</f>
        <v>0</v>
      </c>
      <c r="M156" s="242"/>
      <c r="N156" s="156"/>
      <c r="O156" s="209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112</v>
      </c>
      <c r="C157" s="35" t="s">
        <v>20</v>
      </c>
      <c r="D157" s="35" t="s">
        <v>197</v>
      </c>
      <c r="E157" s="35" t="s">
        <v>25</v>
      </c>
      <c r="F157" s="36"/>
      <c r="G157" s="158" t="s">
        <v>22</v>
      </c>
      <c r="H157" s="159" t="n">
        <v>14</v>
      </c>
      <c r="I157" s="160" t="n">
        <v>14</v>
      </c>
      <c r="J157" s="160" t="n">
        <v>19</v>
      </c>
      <c r="K157" s="140" t="n">
        <v>50501.16</v>
      </c>
      <c r="L157" s="140" t="n">
        <f aca="false">M157+N157</f>
        <v>37636.31</v>
      </c>
      <c r="M157" s="140" t="n">
        <v>23292.74</v>
      </c>
      <c r="N157" s="190" t="n">
        <v>14343.57</v>
      </c>
      <c r="O157" s="163" t="n">
        <v>5</v>
      </c>
      <c r="P157" s="161" t="n">
        <v>21440.78</v>
      </c>
      <c r="Q157" s="161" t="n">
        <f aca="false">R157+S157</f>
        <v>20244.62</v>
      </c>
      <c r="R157" s="161" t="n">
        <v>20244.62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26" t="s">
        <v>198</v>
      </c>
      <c r="G158" s="152" t="s">
        <v>26</v>
      </c>
      <c r="H158" s="171" t="n">
        <v>3</v>
      </c>
      <c r="I158" s="165"/>
      <c r="J158" s="165" t="n">
        <v>1</v>
      </c>
      <c r="K158" s="166" t="n">
        <v>1762</v>
      </c>
      <c r="L158" s="166" t="n">
        <f aca="false">M158+N158</f>
        <v>0</v>
      </c>
      <c r="M158" s="166"/>
      <c r="N158" s="156"/>
      <c r="O158" s="168" t="n">
        <v>1</v>
      </c>
      <c r="P158" s="166" t="n">
        <v>2114.4</v>
      </c>
      <c r="Q158" s="166" t="n">
        <f aca="false">R158+S158</f>
        <v>2114.4</v>
      </c>
      <c r="R158" s="166" t="n">
        <f aca="false">2114.4</f>
        <v>2114.4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17"/>
      <c r="B159" s="18" t="s">
        <v>113</v>
      </c>
      <c r="C159" s="19" t="s">
        <v>20</v>
      </c>
      <c r="D159" s="19"/>
      <c r="E159" s="19" t="s">
        <v>31</v>
      </c>
      <c r="F159" s="36"/>
      <c r="G159" s="146" t="s">
        <v>22</v>
      </c>
      <c r="H159" s="159" t="n">
        <v>12</v>
      </c>
      <c r="I159" s="148" t="n">
        <v>9</v>
      </c>
      <c r="J159" s="148" t="n">
        <v>10</v>
      </c>
      <c r="K159" s="149" t="n">
        <v>16754</v>
      </c>
      <c r="L159" s="149" t="n">
        <f aca="false">M159+N159</f>
        <v>14995.78</v>
      </c>
      <c r="M159" s="149" t="n">
        <v>12303.8</v>
      </c>
      <c r="N159" s="190" t="n">
        <v>2691.98</v>
      </c>
      <c r="O159" s="151" t="n">
        <v>8</v>
      </c>
      <c r="P159" s="149" t="n">
        <v>18834.43</v>
      </c>
      <c r="Q159" s="149" t="n">
        <f aca="false">R159+S159</f>
        <v>18834.43</v>
      </c>
      <c r="R159" s="149" t="n">
        <v>9035.03</v>
      </c>
      <c r="S159" s="190" t="n">
        <v>9799.4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57"/>
      <c r="G160" s="152" t="s">
        <v>26</v>
      </c>
      <c r="H160" s="153"/>
      <c r="I160" s="154"/>
      <c r="J160" s="154"/>
      <c r="K160" s="155"/>
      <c r="L160" s="155" t="n">
        <f aca="false">M160+N160</f>
        <v>0</v>
      </c>
      <c r="M160" s="155"/>
      <c r="N160" s="156"/>
      <c r="O160" s="157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33"/>
      <c r="B161" s="34" t="s">
        <v>114</v>
      </c>
      <c r="C161" s="35" t="s">
        <v>20</v>
      </c>
      <c r="D161" s="95"/>
      <c r="E161" s="35" t="s">
        <v>25</v>
      </c>
      <c r="F161" s="71"/>
      <c r="G161" s="146" t="s">
        <v>22</v>
      </c>
      <c r="H161" s="169" t="n">
        <v>2</v>
      </c>
      <c r="I161" s="160"/>
      <c r="J161" s="160"/>
      <c r="K161" s="161"/>
      <c r="L161" s="161" t="n">
        <f aca="false">M161+N161</f>
        <v>0</v>
      </c>
      <c r="M161" s="161"/>
      <c r="N161" s="190"/>
      <c r="O161" s="163" t="n">
        <v>3</v>
      </c>
      <c r="P161" s="161" t="n">
        <v>4574.09</v>
      </c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 t="s">
        <v>274</v>
      </c>
      <c r="G162" s="164" t="s">
        <v>26</v>
      </c>
      <c r="H162" s="175" t="n">
        <v>4</v>
      </c>
      <c r="I162" s="165" t="n">
        <v>3</v>
      </c>
      <c r="J162" s="165" t="n">
        <v>3</v>
      </c>
      <c r="K162" s="166" t="n">
        <v>4075.22</v>
      </c>
      <c r="L162" s="166" t="n">
        <f aca="false">M162+N162</f>
        <v>0</v>
      </c>
      <c r="M162" s="166"/>
      <c r="N162" s="156"/>
      <c r="O162" s="168"/>
      <c r="P162" s="166"/>
      <c r="Q162" s="166" t="n">
        <f aca="false">R162+S162</f>
        <v>0</v>
      </c>
      <c r="R162" s="166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18" t="s">
        <v>243</v>
      </c>
      <c r="C163" s="219"/>
      <c r="D163" s="19"/>
      <c r="E163" s="19"/>
      <c r="F163" s="20"/>
      <c r="G163" s="146" t="s">
        <v>22</v>
      </c>
      <c r="H163" s="173" t="n">
        <v>3</v>
      </c>
      <c r="I163" s="148" t="n">
        <v>2</v>
      </c>
      <c r="J163" s="148" t="n">
        <v>2</v>
      </c>
      <c r="K163" s="149" t="n">
        <v>4062.29</v>
      </c>
      <c r="L163" s="149" t="n">
        <f aca="false">M163+N163</f>
        <v>0</v>
      </c>
      <c r="M163" s="149"/>
      <c r="N163" s="190"/>
      <c r="O163" s="206"/>
      <c r="P163" s="149"/>
      <c r="Q163" s="149" t="n">
        <f aca="false">R163+S163</f>
        <v>0</v>
      </c>
      <c r="R163" s="149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 t="s">
        <v>275</v>
      </c>
      <c r="G164" s="152" t="s">
        <v>26</v>
      </c>
      <c r="H164" s="174" t="n">
        <v>4</v>
      </c>
      <c r="I164" s="154" t="n">
        <v>1</v>
      </c>
      <c r="J164" s="154" t="n">
        <v>1</v>
      </c>
      <c r="K164" s="155" t="n">
        <v>528.6</v>
      </c>
      <c r="L164" s="155" t="n">
        <f aca="false">M164+N164</f>
        <v>3476.14</v>
      </c>
      <c r="M164" s="155" t="n">
        <f aca="false">3476.14</f>
        <v>3476.14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54"/>
      <c r="B165" s="55" t="s">
        <v>200</v>
      </c>
      <c r="C165" s="220"/>
      <c r="D165" s="56"/>
      <c r="E165" s="56"/>
      <c r="F165" s="36"/>
      <c r="G165" s="158" t="s">
        <v>22</v>
      </c>
      <c r="H165" s="159" t="n">
        <v>21</v>
      </c>
      <c r="I165" s="160" t="n">
        <v>19</v>
      </c>
      <c r="J165" s="160" t="n">
        <v>20</v>
      </c>
      <c r="K165" s="161" t="n">
        <v>22458.11</v>
      </c>
      <c r="L165" s="161" t="n">
        <f aca="false">M165+N165</f>
        <v>22458.11</v>
      </c>
      <c r="M165" s="161" t="n">
        <v>14018.13</v>
      </c>
      <c r="N165" s="190" t="n">
        <v>8439.98</v>
      </c>
      <c r="O165" s="163"/>
      <c r="P165" s="161"/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54"/>
      <c r="B166" s="55"/>
      <c r="C166" s="55"/>
      <c r="D166" s="55"/>
      <c r="E166" s="55"/>
      <c r="F166" s="57"/>
      <c r="G166" s="152" t="s">
        <v>26</v>
      </c>
      <c r="H166" s="174" t="n">
        <v>4</v>
      </c>
      <c r="I166" s="154" t="n">
        <v>3</v>
      </c>
      <c r="J166" s="154" t="n">
        <v>3</v>
      </c>
      <c r="K166" s="155" t="n">
        <v>4757.4</v>
      </c>
      <c r="L166" s="155" t="n">
        <f aca="false">M166+N166</f>
        <v>6096.52</v>
      </c>
      <c r="M166" s="155" t="n">
        <f aca="false">4757.4</f>
        <v>4757.4</v>
      </c>
      <c r="N166" s="156" t="n">
        <f aca="false">1339.12</f>
        <v>1339.12</v>
      </c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 t="s">
        <v>115</v>
      </c>
      <c r="C167" s="56" t="s">
        <v>20</v>
      </c>
      <c r="D167" s="56"/>
      <c r="E167" s="56" t="s">
        <v>116</v>
      </c>
      <c r="F167" s="36"/>
      <c r="G167" s="158" t="s">
        <v>22</v>
      </c>
      <c r="H167" s="159" t="n">
        <v>14</v>
      </c>
      <c r="I167" s="160" t="n">
        <v>11</v>
      </c>
      <c r="J167" s="160" t="n">
        <v>12</v>
      </c>
      <c r="K167" s="161" t="n">
        <v>9503.97</v>
      </c>
      <c r="L167" s="161" t="n">
        <f aca="false">M167+N167</f>
        <v>9503.97</v>
      </c>
      <c r="M167" s="161" t="n">
        <v>6070.98</v>
      </c>
      <c r="N167" s="190" t="n">
        <v>3432.99</v>
      </c>
      <c r="O167" s="163" t="n">
        <v>17</v>
      </c>
      <c r="P167" s="161" t="n">
        <v>40160.31</v>
      </c>
      <c r="Q167" s="161" t="n">
        <f aca="false">R167+S167</f>
        <v>38497.86</v>
      </c>
      <c r="R167" s="161" t="n">
        <v>22208.41</v>
      </c>
      <c r="S167" s="190" t="n">
        <v>16289.45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54"/>
      <c r="B168" s="55"/>
      <c r="C168" s="55"/>
      <c r="D168" s="55"/>
      <c r="E168" s="55"/>
      <c r="F168" s="42" t="s">
        <v>201</v>
      </c>
      <c r="G168" s="164" t="s">
        <v>26</v>
      </c>
      <c r="H168" s="172" t="n">
        <v>9</v>
      </c>
      <c r="I168" s="165" t="n">
        <v>2</v>
      </c>
      <c r="J168" s="165" t="n">
        <v>2</v>
      </c>
      <c r="K168" s="166" t="n">
        <v>5990.8</v>
      </c>
      <c r="L168" s="161" t="n">
        <f aca="false">M168+N168</f>
        <v>1585.8</v>
      </c>
      <c r="M168" s="166" t="n">
        <v>1585.8</v>
      </c>
      <c r="N168" s="156"/>
      <c r="O168" s="168" t="n">
        <v>8</v>
      </c>
      <c r="P168" s="166" t="n">
        <v>881</v>
      </c>
      <c r="Q168" s="166" t="n">
        <f aca="false">R168+S168</f>
        <v>5286</v>
      </c>
      <c r="R168" s="166" t="n">
        <f aca="false">881+2114.4+2290.6</f>
        <v>5286</v>
      </c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17"/>
      <c r="B169" s="18" t="s">
        <v>157</v>
      </c>
      <c r="C169" s="19"/>
      <c r="D169" s="19"/>
      <c r="E169" s="127"/>
      <c r="F169" s="22"/>
      <c r="G169" s="146" t="s">
        <v>22</v>
      </c>
      <c r="H169" s="147" t="n">
        <v>10</v>
      </c>
      <c r="I169" s="148" t="n">
        <v>5</v>
      </c>
      <c r="J169" s="148" t="n">
        <v>6</v>
      </c>
      <c r="K169" s="149" t="n">
        <v>11119.33</v>
      </c>
      <c r="L169" s="149" t="n">
        <f aca="false">M169+N169</f>
        <v>9520.31</v>
      </c>
      <c r="M169" s="149" t="n">
        <v>3876.4</v>
      </c>
      <c r="N169" s="190" t="n">
        <v>5643.91</v>
      </c>
      <c r="O169" s="151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false" outlineLevel="0" collapsed="false">
      <c r="A170" s="17"/>
      <c r="B170" s="18"/>
      <c r="C170" s="18"/>
      <c r="D170" s="18"/>
      <c r="E170" s="127"/>
      <c r="F170" s="26" t="s">
        <v>202</v>
      </c>
      <c r="G170" s="152" t="s">
        <v>26</v>
      </c>
      <c r="H170" s="176" t="n">
        <v>2</v>
      </c>
      <c r="I170" s="154"/>
      <c r="J170" s="154"/>
      <c r="K170" s="155"/>
      <c r="L170" s="155" t="n">
        <f aca="false">M170+N170</f>
        <v>0</v>
      </c>
      <c r="M170" s="155"/>
      <c r="N170" s="156"/>
      <c r="O170" s="157" t="n">
        <v>2</v>
      </c>
      <c r="P170" s="155"/>
      <c r="Q170" s="155" t="n">
        <f aca="false">R170+S170</f>
        <v>1762</v>
      </c>
      <c r="R170" s="155"/>
      <c r="S170" s="156" t="n">
        <v>1762</v>
      </c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true" outlineLevel="0" collapsed="false">
      <c r="A171" s="33"/>
      <c r="B171" s="34" t="s">
        <v>117</v>
      </c>
      <c r="C171" s="35" t="s">
        <v>33</v>
      </c>
      <c r="D171" s="35" t="s">
        <v>118</v>
      </c>
      <c r="E171" s="74" t="s">
        <v>25</v>
      </c>
      <c r="F171" s="89"/>
      <c r="G171" s="158" t="s">
        <v>22</v>
      </c>
      <c r="H171" s="169"/>
      <c r="I171" s="160"/>
      <c r="J171" s="160"/>
      <c r="K171" s="161"/>
      <c r="L171" s="161" t="n">
        <f aca="false">M171+N171</f>
        <v>0</v>
      </c>
      <c r="M171" s="161"/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false" outlineLevel="0" collapsed="false">
      <c r="A172" s="33"/>
      <c r="B172" s="34"/>
      <c r="C172" s="34"/>
      <c r="D172" s="34"/>
      <c r="E172" s="34"/>
      <c r="F172" s="42"/>
      <c r="G172" s="158" t="s">
        <v>23</v>
      </c>
      <c r="H172" s="169"/>
      <c r="I172" s="160"/>
      <c r="J172" s="160"/>
      <c r="K172" s="161"/>
      <c r="L172" s="161" t="n">
        <f aca="false">M172+N172</f>
        <v>0</v>
      </c>
      <c r="M172" s="161"/>
      <c r="N172" s="167"/>
      <c r="O172" s="163" t="n">
        <v>2</v>
      </c>
      <c r="P172" s="161" t="n">
        <v>1762</v>
      </c>
      <c r="Q172" s="161" t="n">
        <v>1762</v>
      </c>
      <c r="R172" s="161" t="n">
        <v>1762</v>
      </c>
      <c r="S172" s="167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33"/>
      <c r="B173" s="34"/>
      <c r="C173" s="34"/>
      <c r="D173" s="34"/>
      <c r="E173" s="34"/>
      <c r="F173" s="42"/>
      <c r="G173" s="164" t="s">
        <v>26</v>
      </c>
      <c r="H173" s="153"/>
      <c r="I173" s="165"/>
      <c r="J173" s="165"/>
      <c r="K173" s="166"/>
      <c r="L173" s="166" t="n">
        <f aca="false">M173+N173</f>
        <v>0</v>
      </c>
      <c r="M173" s="166"/>
      <c r="N173" s="156"/>
      <c r="O173" s="168" t="n">
        <v>6</v>
      </c>
      <c r="P173" s="166" t="n">
        <v>4845.5</v>
      </c>
      <c r="Q173" s="166" t="n">
        <f aca="false">R173+S173</f>
        <v>1762</v>
      </c>
      <c r="R173" s="166" t="n">
        <v>1762</v>
      </c>
      <c r="S173" s="156" t="n">
        <v>0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119</v>
      </c>
      <c r="C174" s="19" t="s">
        <v>20</v>
      </c>
      <c r="D174" s="19"/>
      <c r="E174" s="19" t="s">
        <v>25</v>
      </c>
      <c r="F174" s="20"/>
      <c r="G174" s="146" t="s">
        <v>22</v>
      </c>
      <c r="H174" s="169"/>
      <c r="I174" s="148"/>
      <c r="J174" s="148"/>
      <c r="K174" s="149"/>
      <c r="L174" s="149" t="n">
        <f aca="false">M174+N174</f>
        <v>0</v>
      </c>
      <c r="M174" s="149"/>
      <c r="N174" s="190"/>
      <c r="O174" s="151" t="n">
        <v>2</v>
      </c>
      <c r="P174" s="149" t="n">
        <v>2643</v>
      </c>
      <c r="Q174" s="149" t="n">
        <f aca="false">R174+S174</f>
        <v>2643</v>
      </c>
      <c r="R174" s="149" t="n">
        <v>2643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42" t="s">
        <v>203</v>
      </c>
      <c r="G175" s="164" t="s">
        <v>26</v>
      </c>
      <c r="H175" s="175" t="n">
        <v>4</v>
      </c>
      <c r="I175" s="165" t="n">
        <v>2</v>
      </c>
      <c r="J175" s="165" t="n">
        <v>2</v>
      </c>
      <c r="K175" s="166" t="n">
        <v>1233.4</v>
      </c>
      <c r="L175" s="166" t="n">
        <f aca="false">M175+N175</f>
        <v>1812.59</v>
      </c>
      <c r="M175" s="166" t="n">
        <f aca="false">704.8</f>
        <v>704.8</v>
      </c>
      <c r="N175" s="156" t="n">
        <f aca="false">1107.79</f>
        <v>1107.79</v>
      </c>
      <c r="O175" s="168" t="n">
        <v>3</v>
      </c>
      <c r="P175" s="166" t="n">
        <v>7576.6</v>
      </c>
      <c r="Q175" s="166" t="n">
        <f aca="false">R175+S175</f>
        <v>7349.81</v>
      </c>
      <c r="R175" s="166" t="n">
        <v>7349.81</v>
      </c>
      <c r="S175" s="156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17"/>
      <c r="B176" s="18" t="s">
        <v>225</v>
      </c>
      <c r="C176" s="19"/>
      <c r="D176" s="19"/>
      <c r="E176" s="19"/>
      <c r="F176" s="20"/>
      <c r="G176" s="146" t="s">
        <v>22</v>
      </c>
      <c r="H176" s="147"/>
      <c r="I176" s="148"/>
      <c r="J176" s="148"/>
      <c r="K176" s="149"/>
      <c r="L176" s="149" t="n">
        <f aca="false">M176+N176</f>
        <v>0</v>
      </c>
      <c r="M176" s="149"/>
      <c r="N176" s="190"/>
      <c r="O176" s="151"/>
      <c r="P176" s="149"/>
      <c r="Q176" s="149" t="n">
        <f aca="false">R176+S176</f>
        <v>0</v>
      </c>
      <c r="R176" s="149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17"/>
      <c r="B177" s="18"/>
      <c r="C177" s="18"/>
      <c r="D177" s="18"/>
      <c r="E177" s="18"/>
      <c r="F177" s="26" t="s">
        <v>244</v>
      </c>
      <c r="G177" s="152" t="s">
        <v>23</v>
      </c>
      <c r="H177" s="176" t="n">
        <v>16</v>
      </c>
      <c r="I177" s="154" t="n">
        <v>4</v>
      </c>
      <c r="J177" s="154" t="n">
        <v>4</v>
      </c>
      <c r="K177" s="155" t="n">
        <v>3567.8</v>
      </c>
      <c r="L177" s="155" t="n">
        <v>2863</v>
      </c>
      <c r="M177" s="155" t="n">
        <v>2863</v>
      </c>
      <c r="N177" s="156"/>
      <c r="O177" s="157"/>
      <c r="P177" s="155"/>
      <c r="Q177" s="155" t="n">
        <f aca="false">R177+S177</f>
        <v>0</v>
      </c>
      <c r="R177" s="155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54"/>
      <c r="B178" s="55" t="s">
        <v>120</v>
      </c>
      <c r="C178" s="56" t="s">
        <v>20</v>
      </c>
      <c r="D178" s="56"/>
      <c r="E178" s="56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3</v>
      </c>
      <c r="P178" s="161" t="n">
        <v>3063.78</v>
      </c>
      <c r="Q178" s="161" t="n">
        <f aca="false">R178+S178</f>
        <v>3063.78</v>
      </c>
      <c r="R178" s="161" t="n">
        <v>3063.78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54"/>
      <c r="B179" s="55"/>
      <c r="C179" s="55"/>
      <c r="D179" s="55"/>
      <c r="E179" s="55"/>
      <c r="F179" s="71"/>
      <c r="G179" s="164" t="s">
        <v>26</v>
      </c>
      <c r="H179" s="175"/>
      <c r="I179" s="165"/>
      <c r="J179" s="165"/>
      <c r="K179" s="166"/>
      <c r="L179" s="166" t="n">
        <f aca="false">M179+N179</f>
        <v>0</v>
      </c>
      <c r="M179" s="166"/>
      <c r="N179" s="156"/>
      <c r="O179" s="168"/>
      <c r="P179" s="166"/>
      <c r="Q179" s="166" t="n">
        <f aca="false">R179+S179</f>
        <v>0</v>
      </c>
      <c r="R179" s="166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72"/>
      <c r="B180" s="18" t="s">
        <v>158</v>
      </c>
      <c r="C180" s="74"/>
      <c r="D180" s="56" t="s">
        <v>204</v>
      </c>
      <c r="E180" s="74"/>
      <c r="F180" s="53"/>
      <c r="G180" s="146" t="s">
        <v>22</v>
      </c>
      <c r="H180" s="195"/>
      <c r="I180" s="196"/>
      <c r="J180" s="196"/>
      <c r="K180" s="197"/>
      <c r="L180" s="197" t="n">
        <f aca="false">M180+N180</f>
        <v>0</v>
      </c>
      <c r="M180" s="197"/>
      <c r="N180" s="190"/>
      <c r="O180" s="199"/>
      <c r="P180" s="197"/>
      <c r="Q180" s="197" t="n">
        <f aca="false">R180+S180</f>
        <v>0</v>
      </c>
      <c r="R180" s="197"/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54"/>
      <c r="B181" s="18"/>
      <c r="C181" s="56"/>
      <c r="D181" s="56"/>
      <c r="E181" s="56"/>
      <c r="F181" s="138" t="s">
        <v>205</v>
      </c>
      <c r="G181" s="152" t="s">
        <v>26</v>
      </c>
      <c r="H181" s="153" t="n">
        <v>4</v>
      </c>
      <c r="I181" s="200" t="n">
        <v>2</v>
      </c>
      <c r="J181" s="200" t="n">
        <v>2</v>
      </c>
      <c r="K181" s="201" t="n">
        <v>3524</v>
      </c>
      <c r="L181" s="201" t="n">
        <f aca="false">M181+N181</f>
        <v>0</v>
      </c>
      <c r="M181" s="201"/>
      <c r="N181" s="156"/>
      <c r="O181" s="203"/>
      <c r="P181" s="201"/>
      <c r="Q181" s="201" t="n">
        <f aca="false">R181+S181</f>
        <v>0</v>
      </c>
      <c r="R181" s="201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33"/>
      <c r="B182" s="34" t="s">
        <v>152</v>
      </c>
      <c r="C182" s="35" t="s">
        <v>20</v>
      </c>
      <c r="D182" s="35"/>
      <c r="E182" s="35" t="s">
        <v>25</v>
      </c>
      <c r="F182" s="36"/>
      <c r="G182" s="158" t="s">
        <v>22</v>
      </c>
      <c r="H182" s="169"/>
      <c r="I182" s="160"/>
      <c r="J182" s="160"/>
      <c r="K182" s="161"/>
      <c r="L182" s="161" t="n">
        <f aca="false">M182+N182</f>
        <v>0</v>
      </c>
      <c r="M182" s="161"/>
      <c r="N182" s="190"/>
      <c r="O182" s="163" t="n">
        <v>4</v>
      </c>
      <c r="P182" s="161" t="n">
        <v>7400.4</v>
      </c>
      <c r="Q182" s="161" t="n">
        <f aca="false">R182+S182</f>
        <v>7400.4</v>
      </c>
      <c r="R182" s="161" t="n">
        <v>7400.4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206</v>
      </c>
      <c r="G183" s="164" t="s">
        <v>26</v>
      </c>
      <c r="H183" s="171" t="n">
        <v>4</v>
      </c>
      <c r="I183" s="165"/>
      <c r="J183" s="165" t="n">
        <v>1</v>
      </c>
      <c r="K183" s="166" t="n">
        <v>704.8</v>
      </c>
      <c r="L183" s="166" t="n">
        <v>0</v>
      </c>
      <c r="M183" s="166" t="n">
        <v>0</v>
      </c>
      <c r="N183" s="156"/>
      <c r="O183" s="168" t="n">
        <v>6</v>
      </c>
      <c r="P183" s="166" t="n">
        <v>7048</v>
      </c>
      <c r="Q183" s="161" t="n">
        <f aca="false">R183+S183</f>
        <v>6959.9</v>
      </c>
      <c r="R183" s="166" t="n">
        <f aca="false">2731.1+4228.8</f>
        <v>6959.9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122</v>
      </c>
      <c r="C184" s="19" t="s">
        <v>20</v>
      </c>
      <c r="D184" s="19"/>
      <c r="E184" s="19" t="s">
        <v>116</v>
      </c>
      <c r="F184" s="20"/>
      <c r="G184" s="146" t="s">
        <v>22</v>
      </c>
      <c r="H184" s="159" t="n">
        <v>28</v>
      </c>
      <c r="I184" s="148" t="n">
        <v>26</v>
      </c>
      <c r="J184" s="148" t="n">
        <v>33</v>
      </c>
      <c r="K184" s="149" t="n">
        <v>53050.74</v>
      </c>
      <c r="L184" s="149" t="n">
        <f aca="false">M184+N184</f>
        <v>51516.04</v>
      </c>
      <c r="M184" s="149" t="n">
        <v>32759.12</v>
      </c>
      <c r="N184" s="190" t="n">
        <v>18756.92</v>
      </c>
      <c r="O184" s="151" t="n">
        <v>28</v>
      </c>
      <c r="P184" s="149" t="n">
        <v>96577.15</v>
      </c>
      <c r="Q184" s="149" t="n">
        <f aca="false">R184+S184</f>
        <v>96577.15</v>
      </c>
      <c r="R184" s="149" t="n">
        <v>61568.09</v>
      </c>
      <c r="S184" s="190" t="n">
        <v>35009.06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57"/>
      <c r="G185" s="152" t="s">
        <v>26</v>
      </c>
      <c r="H185" s="153"/>
      <c r="I185" s="154"/>
      <c r="J185" s="154"/>
      <c r="K185" s="155"/>
      <c r="L185" s="155" t="n">
        <f aca="false">M185+N185</f>
        <v>0</v>
      </c>
      <c r="M185" s="155"/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123</v>
      </c>
      <c r="C186" s="35" t="s">
        <v>20</v>
      </c>
      <c r="D186" s="35"/>
      <c r="E186" s="35" t="s">
        <v>25</v>
      </c>
      <c r="F186" s="36"/>
      <c r="G186" s="146" t="s">
        <v>22</v>
      </c>
      <c r="H186" s="159" t="n">
        <v>5</v>
      </c>
      <c r="I186" s="160" t="n">
        <v>4</v>
      </c>
      <c r="J186" s="160" t="n">
        <v>4</v>
      </c>
      <c r="K186" s="161" t="n">
        <v>4193.56</v>
      </c>
      <c r="L186" s="161" t="n">
        <f aca="false">M186+N186</f>
        <v>2255.36</v>
      </c>
      <c r="M186" s="161" t="n">
        <v>2255.36</v>
      </c>
      <c r="N186" s="190"/>
      <c r="O186" s="163" t="n">
        <v>6</v>
      </c>
      <c r="P186" s="161" t="n">
        <v>10868.41</v>
      </c>
      <c r="Q186" s="161" t="n">
        <f aca="false">R186+S186</f>
        <v>10868.41</v>
      </c>
      <c r="R186" s="161" t="n">
        <v>10868.41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207</v>
      </c>
      <c r="G187" s="164" t="s">
        <v>26</v>
      </c>
      <c r="H187" s="153" t="n">
        <v>3</v>
      </c>
      <c r="I187" s="165"/>
      <c r="J187" s="165"/>
      <c r="K187" s="166"/>
      <c r="L187" s="161" t="n">
        <f aca="false">M187+N187</f>
        <v>0</v>
      </c>
      <c r="M187" s="166" t="n">
        <v>0</v>
      </c>
      <c r="N187" s="156"/>
      <c r="O187" s="168" t="n">
        <v>1</v>
      </c>
      <c r="P187" s="166"/>
      <c r="Q187" s="166" t="n">
        <f aca="false">R187+S187</f>
        <v>881</v>
      </c>
      <c r="R187" s="166" t="n">
        <f aca="false">881</f>
        <v>881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17"/>
      <c r="B188" s="18" t="s">
        <v>124</v>
      </c>
      <c r="C188" s="19" t="s">
        <v>20</v>
      </c>
      <c r="D188" s="19"/>
      <c r="E188" s="19" t="s">
        <v>88</v>
      </c>
      <c r="F188" s="20"/>
      <c r="G188" s="146" t="s">
        <v>22</v>
      </c>
      <c r="H188" s="159" t="n">
        <v>11</v>
      </c>
      <c r="I188" s="148" t="n">
        <v>7</v>
      </c>
      <c r="J188" s="148" t="n">
        <v>7</v>
      </c>
      <c r="K188" s="149" t="n">
        <v>9941.39</v>
      </c>
      <c r="L188" s="149" t="n">
        <f aca="false">M188+N188</f>
        <v>5959.27</v>
      </c>
      <c r="M188" s="149" t="n">
        <v>5959.27</v>
      </c>
      <c r="N188" s="190"/>
      <c r="O188" s="151" t="n">
        <v>9</v>
      </c>
      <c r="P188" s="149" t="n">
        <v>21526.95</v>
      </c>
      <c r="Q188" s="149" t="n">
        <f aca="false">R188+S188</f>
        <v>19070.72</v>
      </c>
      <c r="R188" s="149" t="n">
        <v>19070.72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42" t="s">
        <v>245</v>
      </c>
      <c r="G189" s="164" t="s">
        <v>23</v>
      </c>
      <c r="H189" s="172" t="n">
        <v>9</v>
      </c>
      <c r="I189" s="165" t="n">
        <v>2</v>
      </c>
      <c r="J189" s="165" t="n">
        <v>2</v>
      </c>
      <c r="K189" s="166" t="n">
        <v>925.05</v>
      </c>
      <c r="L189" s="166" t="n">
        <v>0</v>
      </c>
      <c r="M189" s="166"/>
      <c r="N189" s="156"/>
      <c r="O189" s="168" t="n">
        <v>6</v>
      </c>
      <c r="P189" s="166" t="n">
        <v>9061.9</v>
      </c>
      <c r="Q189" s="166" t="n">
        <v>8092.8</v>
      </c>
      <c r="R189" s="166" t="n">
        <v>8092.8</v>
      </c>
      <c r="S189" s="156" t="n">
        <v>969.1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208</v>
      </c>
      <c r="C190" s="19"/>
      <c r="D190" s="19"/>
      <c r="E190" s="127"/>
      <c r="F190" s="20"/>
      <c r="G190" s="146" t="s">
        <v>22</v>
      </c>
      <c r="H190" s="173" t="n">
        <v>27</v>
      </c>
      <c r="I190" s="148" t="n">
        <v>22</v>
      </c>
      <c r="J190" s="148" t="n">
        <v>22</v>
      </c>
      <c r="K190" s="149" t="n">
        <v>30664.96</v>
      </c>
      <c r="L190" s="149" t="n">
        <f aca="false">M190+N190</f>
        <v>30664.96</v>
      </c>
      <c r="M190" s="149" t="n">
        <v>2396.32</v>
      </c>
      <c r="N190" s="190" t="n">
        <v>28268.64</v>
      </c>
      <c r="O190" s="151"/>
      <c r="P190" s="149"/>
      <c r="Q190" s="149" t="n">
        <f aca="false">R190+S190</f>
        <v>0</v>
      </c>
      <c r="R190" s="149"/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28"/>
      <c r="F191" s="26" t="s">
        <v>246</v>
      </c>
      <c r="G191" s="152" t="s">
        <v>23</v>
      </c>
      <c r="H191" s="174" t="n">
        <v>10</v>
      </c>
      <c r="I191" s="154" t="n">
        <v>3</v>
      </c>
      <c r="J191" s="154" t="n">
        <v>3</v>
      </c>
      <c r="K191" s="155" t="n">
        <v>1938.2</v>
      </c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125</v>
      </c>
      <c r="C192" s="35" t="s">
        <v>33</v>
      </c>
      <c r="D192" s="35" t="s">
        <v>126</v>
      </c>
      <c r="E192" s="35" t="s">
        <v>127</v>
      </c>
      <c r="F192" s="36"/>
      <c r="G192" s="158" t="s">
        <v>22</v>
      </c>
      <c r="H192" s="159" t="n">
        <v>11</v>
      </c>
      <c r="I192" s="160" t="n">
        <v>7</v>
      </c>
      <c r="J192" s="160" t="n">
        <v>8</v>
      </c>
      <c r="K192" s="161" t="n">
        <v>20631.17</v>
      </c>
      <c r="L192" s="161" t="n">
        <f aca="false">M192+N192</f>
        <v>7126.5</v>
      </c>
      <c r="M192" s="161" t="n">
        <v>7126.5</v>
      </c>
      <c r="N192" s="190"/>
      <c r="O192" s="163" t="n">
        <v>14</v>
      </c>
      <c r="P192" s="161" t="n">
        <v>33154.57</v>
      </c>
      <c r="Q192" s="161" t="n">
        <f aca="false">R192+S192</f>
        <v>32035.95</v>
      </c>
      <c r="R192" s="161" t="n">
        <v>32035.95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/>
      <c r="G193" s="164" t="s">
        <v>23</v>
      </c>
      <c r="H193" s="171" t="n">
        <v>31</v>
      </c>
      <c r="I193" s="165" t="n">
        <v>20</v>
      </c>
      <c r="J193" s="165" t="n">
        <v>20</v>
      </c>
      <c r="K193" s="166" t="n">
        <v>44931</v>
      </c>
      <c r="L193" s="166" t="n">
        <v>5109.8</v>
      </c>
      <c r="M193" s="166" t="n">
        <v>5109.8</v>
      </c>
      <c r="N193" s="156" t="n">
        <v>704.8</v>
      </c>
      <c r="O193" s="168" t="n">
        <v>19</v>
      </c>
      <c r="P193" s="166" t="n">
        <v>45189.9</v>
      </c>
      <c r="Q193" s="166" t="n">
        <v>29425.12</v>
      </c>
      <c r="R193" s="166" t="n">
        <v>29425.12</v>
      </c>
      <c r="S193" s="156" t="n">
        <v>1607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" hidden="false" customHeight="true" outlineLevel="0" collapsed="false">
      <c r="A194" s="17"/>
      <c r="B194" s="18" t="s">
        <v>128</v>
      </c>
      <c r="C194" s="19" t="s">
        <v>20</v>
      </c>
      <c r="D194" s="19"/>
      <c r="E194" s="19" t="s">
        <v>25</v>
      </c>
      <c r="F194" s="20"/>
      <c r="G194" s="146" t="s">
        <v>22</v>
      </c>
      <c r="H194" s="159" t="n">
        <v>20</v>
      </c>
      <c r="I194" s="148" t="n">
        <v>11</v>
      </c>
      <c r="J194" s="148" t="n">
        <v>12</v>
      </c>
      <c r="K194" s="149" t="n">
        <v>13365.9</v>
      </c>
      <c r="L194" s="149" t="n">
        <f aca="false">M194+N194</f>
        <v>10868.49</v>
      </c>
      <c r="M194" s="149" t="n">
        <v>10868.49</v>
      </c>
      <c r="N194" s="190"/>
      <c r="O194" s="151" t="n">
        <v>24</v>
      </c>
      <c r="P194" s="149" t="n">
        <v>42740.26</v>
      </c>
      <c r="Q194" s="149" t="n">
        <f aca="false">R194+S194</f>
        <v>42740.26</v>
      </c>
      <c r="R194" s="149" t="n">
        <v>42740.26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71"/>
      <c r="G195" s="164" t="s">
        <v>26</v>
      </c>
      <c r="H195" s="175"/>
      <c r="I195" s="165"/>
      <c r="J195" s="165"/>
      <c r="K195" s="166"/>
      <c r="L195" s="166" t="n">
        <f aca="false">M195+N195</f>
        <v>0</v>
      </c>
      <c r="M195" s="166"/>
      <c r="N195" s="156"/>
      <c r="O195" s="168"/>
      <c r="P195" s="166"/>
      <c r="Q195" s="166" t="n">
        <f aca="false">R195+S195</f>
        <v>0</v>
      </c>
      <c r="R195" s="166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227</v>
      </c>
      <c r="C196" s="19"/>
      <c r="D196" s="19"/>
      <c r="E196" s="19"/>
      <c r="F196" s="20"/>
      <c r="G196" s="204" t="s">
        <v>22</v>
      </c>
      <c r="H196" s="173" t="n">
        <v>4</v>
      </c>
      <c r="I196" s="148" t="n">
        <v>1</v>
      </c>
      <c r="J196" s="148" t="n">
        <v>1</v>
      </c>
      <c r="K196" s="149" t="n">
        <v>621.99</v>
      </c>
      <c r="L196" s="149" t="n">
        <f aca="false">M196+N196</f>
        <v>0</v>
      </c>
      <c r="M196" s="149"/>
      <c r="N196" s="190"/>
      <c r="O196" s="206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57"/>
      <c r="G197" s="207" t="s">
        <v>26</v>
      </c>
      <c r="H197" s="174"/>
      <c r="I197" s="154"/>
      <c r="J197" s="154"/>
      <c r="K197" s="155"/>
      <c r="L197" s="155" t="n">
        <f aca="false">M197+N197</f>
        <v>0</v>
      </c>
      <c r="M197" s="155"/>
      <c r="N197" s="156"/>
      <c r="O197" s="209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129</v>
      </c>
      <c r="C198" s="35" t="s">
        <v>38</v>
      </c>
      <c r="D198" s="35" t="s">
        <v>130</v>
      </c>
      <c r="E198" s="35" t="s">
        <v>25</v>
      </c>
      <c r="F198" s="36"/>
      <c r="G198" s="158" t="s">
        <v>22</v>
      </c>
      <c r="H198" s="159" t="n">
        <v>11</v>
      </c>
      <c r="I198" s="160" t="n">
        <v>10</v>
      </c>
      <c r="J198" s="160" t="n">
        <v>10</v>
      </c>
      <c r="K198" s="161" t="n">
        <v>8519.19</v>
      </c>
      <c r="L198" s="161" t="n">
        <f aca="false">M198+N198</f>
        <v>5680.61</v>
      </c>
      <c r="M198" s="161" t="n">
        <v>5680.61</v>
      </c>
      <c r="N198" s="190"/>
      <c r="O198" s="163" t="n">
        <v>5</v>
      </c>
      <c r="P198" s="161" t="n">
        <v>66458.37</v>
      </c>
      <c r="Q198" s="161" t="n">
        <f aca="false">R198+S198</f>
        <v>44463.45</v>
      </c>
      <c r="R198" s="161" t="n">
        <v>44463.45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 t="s">
        <v>209</v>
      </c>
      <c r="G199" s="164" t="s">
        <v>26</v>
      </c>
      <c r="H199" s="153" t="n">
        <v>5</v>
      </c>
      <c r="I199" s="165" t="n">
        <v>1</v>
      </c>
      <c r="J199" s="165" t="n">
        <v>1</v>
      </c>
      <c r="K199" s="166" t="n">
        <v>1762</v>
      </c>
      <c r="L199" s="161" t="n">
        <f aca="false">M199+N199</f>
        <v>0</v>
      </c>
      <c r="M199" s="166" t="n">
        <v>0</v>
      </c>
      <c r="N199" s="156"/>
      <c r="O199" s="168" t="n">
        <v>7</v>
      </c>
      <c r="P199" s="166" t="n">
        <v>20590.6</v>
      </c>
      <c r="Q199" s="166" t="n">
        <f aca="false">R199+S199</f>
        <v>17783.7</v>
      </c>
      <c r="R199" s="166" t="n">
        <f aca="false">881+881+14612.2+1409.5</f>
        <v>17783.7</v>
      </c>
      <c r="S199" s="167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17"/>
      <c r="B200" s="18" t="s">
        <v>131</v>
      </c>
      <c r="C200" s="19" t="s">
        <v>38</v>
      </c>
      <c r="D200" s="19" t="s">
        <v>130</v>
      </c>
      <c r="E200" s="19" t="s">
        <v>25</v>
      </c>
      <c r="F200" s="20"/>
      <c r="G200" s="146" t="s">
        <v>22</v>
      </c>
      <c r="H200" s="159" t="n">
        <v>10</v>
      </c>
      <c r="I200" s="148" t="n">
        <v>8</v>
      </c>
      <c r="J200" s="148" t="n">
        <v>13</v>
      </c>
      <c r="K200" s="149" t="n">
        <v>31320.86</v>
      </c>
      <c r="L200" s="149" t="n">
        <f aca="false">M200+N200</f>
        <v>25996.1</v>
      </c>
      <c r="M200" s="149" t="n">
        <v>25996.1</v>
      </c>
      <c r="N200" s="190"/>
      <c r="O200" s="151" t="n">
        <v>16</v>
      </c>
      <c r="P200" s="149" t="n">
        <v>159038.28</v>
      </c>
      <c r="Q200" s="149" t="n">
        <f aca="false">R200+S200</f>
        <v>58274.05</v>
      </c>
      <c r="R200" s="149" t="n">
        <v>58274.05</v>
      </c>
      <c r="S200" s="198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17"/>
      <c r="B201" s="18"/>
      <c r="C201" s="18"/>
      <c r="D201" s="18"/>
      <c r="E201" s="18"/>
      <c r="F201" s="26" t="s">
        <v>210</v>
      </c>
      <c r="G201" s="152" t="s">
        <v>26</v>
      </c>
      <c r="H201" s="153" t="n">
        <v>4</v>
      </c>
      <c r="I201" s="154" t="n">
        <v>3</v>
      </c>
      <c r="J201" s="154" t="n">
        <v>3</v>
      </c>
      <c r="K201" s="155" t="n">
        <v>2114.4</v>
      </c>
      <c r="L201" s="155" t="n">
        <f aca="false">M201+N201</f>
        <v>1585.8</v>
      </c>
      <c r="M201" s="155" t="n">
        <f aca="false">1585.8</f>
        <v>1585.8</v>
      </c>
      <c r="N201" s="156"/>
      <c r="O201" s="157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33"/>
      <c r="B202" s="34" t="s">
        <v>132</v>
      </c>
      <c r="C202" s="35" t="s">
        <v>20</v>
      </c>
      <c r="D202" s="35"/>
      <c r="E202" s="35" t="s">
        <v>69</v>
      </c>
      <c r="F202" s="38"/>
      <c r="G202" s="146" t="s">
        <v>22</v>
      </c>
      <c r="H202" s="159" t="n">
        <v>11</v>
      </c>
      <c r="I202" s="160" t="n">
        <v>7</v>
      </c>
      <c r="J202" s="160" t="n">
        <v>11</v>
      </c>
      <c r="K202" s="161" t="n">
        <v>23368.97</v>
      </c>
      <c r="L202" s="161" t="n">
        <f aca="false">M202+N202</f>
        <v>23368.97</v>
      </c>
      <c r="M202" s="161" t="n">
        <v>23368.97</v>
      </c>
      <c r="N202" s="190"/>
      <c r="O202" s="163" t="n">
        <v>13</v>
      </c>
      <c r="P202" s="161" t="n">
        <v>43004.3</v>
      </c>
      <c r="Q202" s="161" t="n">
        <f aca="false">R202+S202</f>
        <v>39943.71</v>
      </c>
      <c r="R202" s="161" t="n">
        <v>28827.93</v>
      </c>
      <c r="S202" s="190" t="n">
        <v>11115.78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33"/>
      <c r="B203" s="34"/>
      <c r="C203" s="34"/>
      <c r="D203" s="34"/>
      <c r="E203" s="34"/>
      <c r="F203" s="42" t="s">
        <v>211</v>
      </c>
      <c r="G203" s="164" t="s">
        <v>26</v>
      </c>
      <c r="H203" s="153" t="n">
        <v>8</v>
      </c>
      <c r="I203" s="165" t="n">
        <v>3</v>
      </c>
      <c r="J203" s="165" t="n">
        <v>3</v>
      </c>
      <c r="K203" s="166" t="n">
        <v>10184.36</v>
      </c>
      <c r="L203" s="166" t="n">
        <f aca="false">M203+N203</f>
        <v>0</v>
      </c>
      <c r="M203" s="166"/>
      <c r="N203" s="156"/>
      <c r="O203" s="168" t="n">
        <v>1</v>
      </c>
      <c r="P203" s="166" t="n">
        <v>3700.2</v>
      </c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72"/>
      <c r="B204" s="73" t="s">
        <v>133</v>
      </c>
      <c r="C204" s="74" t="s">
        <v>20</v>
      </c>
      <c r="D204" s="74"/>
      <c r="E204" s="74" t="s">
        <v>25</v>
      </c>
      <c r="F204" s="22"/>
      <c r="G204" s="146" t="s">
        <v>22</v>
      </c>
      <c r="H204" s="159" t="n">
        <v>4</v>
      </c>
      <c r="I204" s="148" t="n">
        <v>4</v>
      </c>
      <c r="J204" s="148" t="n">
        <v>5</v>
      </c>
      <c r="K204" s="149" t="n">
        <v>7984.73</v>
      </c>
      <c r="L204" s="149" t="n">
        <f aca="false">M204+N204</f>
        <v>2784.03</v>
      </c>
      <c r="M204" s="149" t="n">
        <v>2784.03</v>
      </c>
      <c r="N204" s="190"/>
      <c r="O204" s="151" t="n">
        <v>2</v>
      </c>
      <c r="P204" s="149" t="n">
        <v>4329.79</v>
      </c>
      <c r="Q204" s="149" t="n">
        <f aca="false">R204+S204</f>
        <v>4329.79</v>
      </c>
      <c r="R204" s="149" t="n">
        <v>4329.79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72"/>
      <c r="B205" s="73"/>
      <c r="C205" s="73"/>
      <c r="D205" s="73"/>
      <c r="E205" s="73"/>
      <c r="F205" s="42" t="s">
        <v>212</v>
      </c>
      <c r="G205" s="164" t="s">
        <v>26</v>
      </c>
      <c r="H205" s="171" t="n">
        <v>4</v>
      </c>
      <c r="I205" s="165" t="n">
        <v>1</v>
      </c>
      <c r="J205" s="165" t="n">
        <v>1</v>
      </c>
      <c r="K205" s="166" t="n">
        <v>1409.6</v>
      </c>
      <c r="L205" s="166" t="n">
        <f aca="false">M205+N205</f>
        <v>1409.6</v>
      </c>
      <c r="M205" s="166" t="n">
        <f aca="false">1409.6</f>
        <v>1409.6</v>
      </c>
      <c r="N205" s="156"/>
      <c r="O205" s="168" t="n">
        <v>2</v>
      </c>
      <c r="P205" s="166" t="n">
        <v>1321.5</v>
      </c>
      <c r="Q205" s="166" t="n">
        <f aca="false">R205+S205</f>
        <v>1321.5</v>
      </c>
      <c r="R205" s="166" t="n">
        <f aca="false">1321.5</f>
        <v>1321.5</v>
      </c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72"/>
      <c r="B206" s="73" t="s">
        <v>134</v>
      </c>
      <c r="C206" s="74" t="s">
        <v>20</v>
      </c>
      <c r="D206" s="74"/>
      <c r="E206" s="74" t="s">
        <v>25</v>
      </c>
      <c r="F206" s="20"/>
      <c r="G206" s="146" t="s">
        <v>22</v>
      </c>
      <c r="H206" s="169"/>
      <c r="I206" s="148"/>
      <c r="J206" s="148"/>
      <c r="K206" s="149"/>
      <c r="L206" s="149" t="n">
        <f aca="false">M206+N206</f>
        <v>0</v>
      </c>
      <c r="M206" s="149"/>
      <c r="N206" s="190"/>
      <c r="O206" s="151" t="n">
        <v>1</v>
      </c>
      <c r="P206" s="149" t="n">
        <v>13019.26</v>
      </c>
      <c r="Q206" s="149" t="n">
        <f aca="false">R206+S206</f>
        <v>13019.26</v>
      </c>
      <c r="R206" s="149" t="n">
        <v>13019.26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72"/>
      <c r="B207" s="73"/>
      <c r="C207" s="73"/>
      <c r="D207" s="73"/>
      <c r="E207" s="73"/>
      <c r="F207" s="42" t="s">
        <v>213</v>
      </c>
      <c r="G207" s="164" t="s">
        <v>26</v>
      </c>
      <c r="H207" s="153" t="n">
        <v>3</v>
      </c>
      <c r="I207" s="165"/>
      <c r="J207" s="165"/>
      <c r="K207" s="166"/>
      <c r="L207" s="166" t="n">
        <f aca="false">M207+N207</f>
        <v>0</v>
      </c>
      <c r="M207" s="166"/>
      <c r="N207" s="156"/>
      <c r="O207" s="168" t="n">
        <v>5</v>
      </c>
      <c r="P207" s="166" t="n">
        <v>23840.15</v>
      </c>
      <c r="Q207" s="166" t="n">
        <f aca="false">R207+S207</f>
        <v>19875.62</v>
      </c>
      <c r="R207" s="166" t="n">
        <f aca="false">19875.62</f>
        <v>19875.62</v>
      </c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" hidden="false" customHeight="true" outlineLevel="0" collapsed="false">
      <c r="A208" s="17"/>
      <c r="B208" s="18" t="s">
        <v>135</v>
      </c>
      <c r="C208" s="19" t="s">
        <v>20</v>
      </c>
      <c r="D208" s="19"/>
      <c r="E208" s="19" t="s">
        <v>69</v>
      </c>
      <c r="F208" s="22"/>
      <c r="G208" s="146" t="s">
        <v>22</v>
      </c>
      <c r="H208" s="159" t="n">
        <v>12</v>
      </c>
      <c r="I208" s="148" t="n">
        <v>5</v>
      </c>
      <c r="J208" s="148" t="n">
        <v>6</v>
      </c>
      <c r="K208" s="149" t="n">
        <v>11463.36</v>
      </c>
      <c r="L208" s="149" t="n">
        <f aca="false">M208+N208</f>
        <v>5321.24</v>
      </c>
      <c r="M208" s="149" t="n">
        <v>4158.32</v>
      </c>
      <c r="N208" s="190" t="n">
        <v>1162.92</v>
      </c>
      <c r="O208" s="151" t="n">
        <v>13</v>
      </c>
      <c r="P208" s="149" t="n">
        <v>42132.95</v>
      </c>
      <c r="Q208" s="149" t="n">
        <f aca="false">R208+S208</f>
        <v>42132.95</v>
      </c>
      <c r="R208" s="149" t="n">
        <v>16446.2</v>
      </c>
      <c r="S208" s="190" t="n">
        <v>25686.75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 t="s">
        <v>277</v>
      </c>
      <c r="G209" s="152" t="s">
        <v>26</v>
      </c>
      <c r="H209" s="171" t="n">
        <v>6</v>
      </c>
      <c r="I209" s="154"/>
      <c r="J209" s="154" t="n">
        <v>2</v>
      </c>
      <c r="K209" s="155" t="n">
        <v>1409.6</v>
      </c>
      <c r="L209" s="155" t="n">
        <f aca="false">M209+N209</f>
        <v>0</v>
      </c>
      <c r="M209" s="155"/>
      <c r="N209" s="156"/>
      <c r="O209" s="157" t="n">
        <v>2</v>
      </c>
      <c r="P209" s="155" t="n">
        <v>2292.9</v>
      </c>
      <c r="Q209" s="155" t="n">
        <f aca="false">R209+S209</f>
        <v>792.9</v>
      </c>
      <c r="R209" s="155" t="n">
        <f aca="false">792.9</f>
        <v>792.9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33"/>
      <c r="B210" s="34" t="s">
        <v>136</v>
      </c>
      <c r="C210" s="35" t="s">
        <v>20</v>
      </c>
      <c r="D210" s="35"/>
      <c r="E210" s="35" t="s">
        <v>98</v>
      </c>
      <c r="F210" s="36"/>
      <c r="G210" s="146" t="s">
        <v>22</v>
      </c>
      <c r="H210" s="159" t="n">
        <v>21</v>
      </c>
      <c r="I210" s="160" t="n">
        <v>14</v>
      </c>
      <c r="J210" s="160" t="n">
        <v>21</v>
      </c>
      <c r="K210" s="161" t="n">
        <v>39745.81</v>
      </c>
      <c r="L210" s="161" t="n">
        <f aca="false">M210+N210</f>
        <v>20218.61</v>
      </c>
      <c r="M210" s="161" t="n">
        <v>20218.61</v>
      </c>
      <c r="N210" s="190"/>
      <c r="O210" s="163" t="n">
        <v>11</v>
      </c>
      <c r="P210" s="161" t="n">
        <v>23371.27</v>
      </c>
      <c r="Q210" s="161" t="n">
        <f aca="false">R210+S210</f>
        <v>14877.54</v>
      </c>
      <c r="R210" s="161" t="n">
        <v>14877.54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247</v>
      </c>
      <c r="G211" s="164" t="s">
        <v>23</v>
      </c>
      <c r="H211" s="171" t="n">
        <v>6</v>
      </c>
      <c r="I211" s="165" t="n">
        <v>6</v>
      </c>
      <c r="J211" s="165" t="n">
        <v>6</v>
      </c>
      <c r="K211" s="166" t="n">
        <v>4581.2</v>
      </c>
      <c r="L211" s="166" t="n">
        <f aca="false">M211+N211</f>
        <v>4052.6</v>
      </c>
      <c r="M211" s="166" t="n">
        <v>4052.6</v>
      </c>
      <c r="N211" s="156"/>
      <c r="O211" s="168" t="n">
        <v>8</v>
      </c>
      <c r="P211" s="166" t="n">
        <v>15505.6</v>
      </c>
      <c r="Q211" s="166" t="n">
        <v>5638.4</v>
      </c>
      <c r="R211" s="166" t="n">
        <v>5638.4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137</v>
      </c>
      <c r="C212" s="19" t="s">
        <v>20</v>
      </c>
      <c r="D212" s="19"/>
      <c r="E212" s="19" t="s">
        <v>25</v>
      </c>
      <c r="F212" s="20"/>
      <c r="G212" s="146" t="s">
        <v>22</v>
      </c>
      <c r="H212" s="169"/>
      <c r="I212" s="148"/>
      <c r="J212" s="148"/>
      <c r="K212" s="149"/>
      <c r="L212" s="149" t="n">
        <f aca="false">M212+N212</f>
        <v>0</v>
      </c>
      <c r="M212" s="149"/>
      <c r="N212" s="190"/>
      <c r="O212" s="151"/>
      <c r="P212" s="149"/>
      <c r="Q212" s="149" t="n">
        <f aca="false">R212+S212</f>
        <v>0</v>
      </c>
      <c r="R212" s="149"/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20.25" hidden="false" customHeight="true" outlineLevel="0" collapsed="false">
      <c r="A213" s="17"/>
      <c r="B213" s="18"/>
      <c r="C213" s="18"/>
      <c r="D213" s="18"/>
      <c r="E213" s="18"/>
      <c r="F213" s="26" t="s">
        <v>286</v>
      </c>
      <c r="G213" s="152" t="s">
        <v>26</v>
      </c>
      <c r="H213" s="153" t="n">
        <v>9</v>
      </c>
      <c r="I213" s="154" t="n">
        <v>1</v>
      </c>
      <c r="J213" s="154" t="n">
        <v>1</v>
      </c>
      <c r="K213" s="155" t="n">
        <v>1938.2</v>
      </c>
      <c r="L213" s="155" t="n">
        <f aca="false">M213+N213</f>
        <v>0</v>
      </c>
      <c r="M213" s="155"/>
      <c r="N213" s="156"/>
      <c r="O213" s="157"/>
      <c r="P213" s="155"/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138</v>
      </c>
      <c r="C214" s="56" t="s">
        <v>33</v>
      </c>
      <c r="D214" s="56" t="s">
        <v>139</v>
      </c>
      <c r="E214" s="56" t="s">
        <v>25</v>
      </c>
      <c r="F214" s="36"/>
      <c r="G214" s="146" t="s">
        <v>22</v>
      </c>
      <c r="H214" s="169"/>
      <c r="I214" s="160"/>
      <c r="J214" s="160"/>
      <c r="K214" s="161"/>
      <c r="L214" s="161" t="n">
        <f aca="false">M214+N214</f>
        <v>0</v>
      </c>
      <c r="M214" s="161"/>
      <c r="N214" s="190"/>
      <c r="O214" s="163"/>
      <c r="P214" s="161"/>
      <c r="Q214" s="161" t="n">
        <f aca="false">R214+S214</f>
        <v>0</v>
      </c>
      <c r="R214" s="161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214</v>
      </c>
      <c r="G215" s="152" t="s">
        <v>26</v>
      </c>
      <c r="H215" s="171" t="n">
        <v>5</v>
      </c>
      <c r="I215" s="154" t="n">
        <v>2</v>
      </c>
      <c r="J215" s="154" t="n">
        <v>2</v>
      </c>
      <c r="K215" s="155" t="n">
        <v>4158.32</v>
      </c>
      <c r="L215" s="155" t="n">
        <f aca="false">M215+N215</f>
        <v>2466.8</v>
      </c>
      <c r="M215" s="155" t="n">
        <f aca="false">2466.8</f>
        <v>2466.8</v>
      </c>
      <c r="N215" s="156"/>
      <c r="O215" s="157"/>
      <c r="P215" s="155"/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33"/>
      <c r="B216" s="34" t="s">
        <v>140</v>
      </c>
      <c r="C216" s="35" t="s">
        <v>20</v>
      </c>
      <c r="D216" s="35"/>
      <c r="E216" s="35" t="s">
        <v>141</v>
      </c>
      <c r="F216" s="36"/>
      <c r="G216" s="146" t="s">
        <v>22</v>
      </c>
      <c r="H216" s="159" t="n">
        <v>15</v>
      </c>
      <c r="I216" s="160" t="n">
        <v>13</v>
      </c>
      <c r="J216" s="160" t="n">
        <v>14</v>
      </c>
      <c r="K216" s="161" t="n">
        <v>16759.36</v>
      </c>
      <c r="L216" s="161" t="n">
        <f aca="false">M216+N216</f>
        <v>13067.09</v>
      </c>
      <c r="M216" s="161" t="n">
        <v>13067.09</v>
      </c>
      <c r="N216" s="190"/>
      <c r="O216" s="163" t="n">
        <v>11</v>
      </c>
      <c r="P216" s="161" t="n">
        <v>65251.23</v>
      </c>
      <c r="Q216" s="161" t="n">
        <f aca="false">R216+S216</f>
        <v>24064.99</v>
      </c>
      <c r="R216" s="161" t="n">
        <v>24064.99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42" t="s">
        <v>215</v>
      </c>
      <c r="G217" s="164" t="s">
        <v>26</v>
      </c>
      <c r="H217" s="175" t="n">
        <v>1</v>
      </c>
      <c r="I217" s="165"/>
      <c r="J217" s="165"/>
      <c r="K217" s="166"/>
      <c r="L217" s="166" t="n">
        <f aca="false">M217+N217</f>
        <v>0</v>
      </c>
      <c r="M217" s="166"/>
      <c r="N217" s="156"/>
      <c r="O217" s="168"/>
      <c r="P217" s="166"/>
      <c r="Q217" s="166" t="n">
        <f aca="false">R217+S217</f>
        <v>0</v>
      </c>
      <c r="R217" s="166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251</v>
      </c>
      <c r="C218" s="19" t="s">
        <v>20</v>
      </c>
      <c r="D218" s="19"/>
      <c r="E218" s="19" t="s">
        <v>116</v>
      </c>
      <c r="F218" s="20"/>
      <c r="G218" s="146" t="s">
        <v>22</v>
      </c>
      <c r="H218" s="173" t="n">
        <v>5</v>
      </c>
      <c r="I218" s="148" t="n">
        <v>3</v>
      </c>
      <c r="J218" s="148" t="n">
        <v>3</v>
      </c>
      <c r="K218" s="149" t="n">
        <v>3851.92</v>
      </c>
      <c r="L218" s="149"/>
      <c r="M218" s="149"/>
      <c r="N218" s="190"/>
      <c r="O218" s="206"/>
      <c r="P218" s="149"/>
      <c r="Q218" s="149"/>
      <c r="R218" s="149"/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252</v>
      </c>
      <c r="G219" s="152" t="s">
        <v>26</v>
      </c>
      <c r="H219" s="174" t="n">
        <v>7</v>
      </c>
      <c r="I219" s="154"/>
      <c r="J219" s="154"/>
      <c r="K219" s="155"/>
      <c r="L219" s="155"/>
      <c r="M219" s="155"/>
      <c r="N219" s="156"/>
      <c r="O219" s="209"/>
      <c r="P219" s="155"/>
      <c r="Q219" s="155"/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54"/>
      <c r="B220" s="55" t="s">
        <v>142</v>
      </c>
      <c r="C220" s="56" t="s">
        <v>20</v>
      </c>
      <c r="D220" s="56"/>
      <c r="E220" s="56" t="s">
        <v>25</v>
      </c>
      <c r="F220" s="36"/>
      <c r="G220" s="158" t="s">
        <v>22</v>
      </c>
      <c r="H220" s="173" t="n">
        <v>4</v>
      </c>
      <c r="I220" s="148" t="n">
        <v>4</v>
      </c>
      <c r="J220" s="148" t="n">
        <v>4</v>
      </c>
      <c r="K220" s="149" t="n">
        <v>3418.28</v>
      </c>
      <c r="L220" s="149" t="n">
        <f aca="false">M220+N220</f>
        <v>3418.28</v>
      </c>
      <c r="M220" s="149" t="n">
        <v>1656.28</v>
      </c>
      <c r="N220" s="190" t="n">
        <v>1762</v>
      </c>
      <c r="O220" s="228" t="n">
        <v>5</v>
      </c>
      <c r="P220" s="161" t="n">
        <v>8844.46</v>
      </c>
      <c r="Q220" s="161" t="n">
        <f aca="false">R220+S220</f>
        <v>8844.46</v>
      </c>
      <c r="R220" s="161" t="n">
        <v>3342.51</v>
      </c>
      <c r="S220" s="190" t="n">
        <v>5501.95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54"/>
      <c r="B221" s="55"/>
      <c r="C221" s="55"/>
      <c r="D221" s="55"/>
      <c r="E221" s="55"/>
      <c r="F221" s="42" t="s">
        <v>216</v>
      </c>
      <c r="G221" s="164" t="s">
        <v>26</v>
      </c>
      <c r="H221" s="177" t="n">
        <v>7</v>
      </c>
      <c r="I221" s="165" t="n">
        <v>3</v>
      </c>
      <c r="J221" s="165" t="n">
        <v>3</v>
      </c>
      <c r="K221" s="166" t="n">
        <v>5990.8</v>
      </c>
      <c r="L221" s="166" t="n">
        <f aca="false">M221+N221</f>
        <v>5167.21</v>
      </c>
      <c r="M221" s="166" t="n">
        <v>5167.21</v>
      </c>
      <c r="N221" s="167"/>
      <c r="O221" s="238" t="n">
        <v>12</v>
      </c>
      <c r="P221" s="166" t="n">
        <v>7343.2</v>
      </c>
      <c r="Q221" s="166" t="n">
        <f aca="false">R221+S221</f>
        <v>4876.19</v>
      </c>
      <c r="R221" s="166" t="n">
        <f aca="false">823.59+1233.4+2819.2</f>
        <v>4876.19</v>
      </c>
      <c r="S221" s="167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287</v>
      </c>
      <c r="C222" s="56" t="s">
        <v>20</v>
      </c>
      <c r="D222" s="19"/>
      <c r="E222" s="56" t="s">
        <v>25</v>
      </c>
      <c r="F222" s="20"/>
      <c r="G222" s="146" t="s">
        <v>22</v>
      </c>
      <c r="H222" s="147"/>
      <c r="I222" s="148"/>
      <c r="J222" s="148"/>
      <c r="K222" s="149"/>
      <c r="L222" s="149" t="n">
        <f aca="false">M222+N222</f>
        <v>0</v>
      </c>
      <c r="M222" s="149"/>
      <c r="N222" s="150"/>
      <c r="O222" s="206"/>
      <c r="P222" s="149"/>
      <c r="Q222" s="149" t="n">
        <f aca="false">R222+S222</f>
        <v>0</v>
      </c>
      <c r="R222" s="149"/>
      <c r="S222" s="15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288</v>
      </c>
      <c r="G223" s="152" t="s">
        <v>26</v>
      </c>
      <c r="H223" s="176" t="n">
        <v>3</v>
      </c>
      <c r="I223" s="154" t="n">
        <v>3</v>
      </c>
      <c r="J223" s="154" t="n">
        <v>3</v>
      </c>
      <c r="K223" s="155" t="n">
        <v>3171.6</v>
      </c>
      <c r="L223" s="155" t="n">
        <f aca="false">M223+N223</f>
        <v>0</v>
      </c>
      <c r="M223" s="155"/>
      <c r="N223" s="156"/>
      <c r="O223" s="209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33"/>
      <c r="B224" s="34" t="s">
        <v>143</v>
      </c>
      <c r="C224" s="35" t="s">
        <v>20</v>
      </c>
      <c r="D224" s="35"/>
      <c r="E224" s="35" t="s">
        <v>25</v>
      </c>
      <c r="F224" s="36"/>
      <c r="G224" s="158" t="s">
        <v>22</v>
      </c>
      <c r="H224" s="169" t="n">
        <v>1</v>
      </c>
      <c r="I224" s="160"/>
      <c r="J224" s="160"/>
      <c r="K224" s="161"/>
      <c r="L224" s="161" t="n">
        <f aca="false">M224+N224</f>
        <v>0</v>
      </c>
      <c r="M224" s="161"/>
      <c r="N224" s="190"/>
      <c r="O224" s="163" t="n">
        <v>1</v>
      </c>
      <c r="P224" s="161" t="n">
        <v>1515.67</v>
      </c>
      <c r="Q224" s="161" t="n">
        <f aca="false">R224+S224</f>
        <v>1515.67</v>
      </c>
      <c r="R224" s="161" t="n">
        <v>1515.67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217</v>
      </c>
      <c r="G225" s="164" t="s">
        <v>26</v>
      </c>
      <c r="H225" s="171" t="n">
        <v>7</v>
      </c>
      <c r="I225" s="165"/>
      <c r="J225" s="165"/>
      <c r="K225" s="166"/>
      <c r="L225" s="166" t="n">
        <f aca="false">M225+N225</f>
        <v>704.8</v>
      </c>
      <c r="M225" s="166" t="n">
        <f aca="false">704.8</f>
        <v>704.8</v>
      </c>
      <c r="N225" s="156"/>
      <c r="O225" s="168" t="n">
        <v>6</v>
      </c>
      <c r="P225" s="166" t="n">
        <v>34775.2</v>
      </c>
      <c r="Q225" s="166" t="n">
        <f aca="false">R225+S225</f>
        <v>13743.6</v>
      </c>
      <c r="R225" s="166" t="n">
        <f aca="false">704.8+13038.8</f>
        <v>13743.6</v>
      </c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144</v>
      </c>
      <c r="C226" s="19" t="s">
        <v>20</v>
      </c>
      <c r="D226" s="19"/>
      <c r="E226" s="19" t="s">
        <v>81</v>
      </c>
      <c r="F226" s="20"/>
      <c r="G226" s="146" t="s">
        <v>22</v>
      </c>
      <c r="H226" s="159" t="n">
        <v>10</v>
      </c>
      <c r="I226" s="148" t="n">
        <v>7</v>
      </c>
      <c r="J226" s="148" t="n">
        <v>7</v>
      </c>
      <c r="K226" s="149" t="n">
        <v>6542.31</v>
      </c>
      <c r="L226" s="149" t="n">
        <f aca="false">M226+N226</f>
        <v>7588.94</v>
      </c>
      <c r="M226" s="149" t="n">
        <v>2096.78</v>
      </c>
      <c r="N226" s="190" t="n">
        <v>5492.16</v>
      </c>
      <c r="O226" s="151" t="n">
        <v>5</v>
      </c>
      <c r="P226" s="149" t="n">
        <v>16284.3</v>
      </c>
      <c r="Q226" s="149" t="n">
        <f aca="false">R226+S226</f>
        <v>16284.3</v>
      </c>
      <c r="R226" s="149" t="n">
        <v>3636.77</v>
      </c>
      <c r="S226" s="190" t="n">
        <v>12647.53</v>
      </c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218</v>
      </c>
      <c r="G227" s="152" t="s">
        <v>26</v>
      </c>
      <c r="H227" s="171" t="n">
        <v>6</v>
      </c>
      <c r="I227" s="154" t="n">
        <v>2</v>
      </c>
      <c r="J227" s="154" t="n">
        <v>2</v>
      </c>
      <c r="K227" s="155" t="n">
        <v>4052.6</v>
      </c>
      <c r="L227" s="155" t="n">
        <f aca="false">M227+N227</f>
        <v>4052.6</v>
      </c>
      <c r="M227" s="155" t="n">
        <f aca="false">4052.6</f>
        <v>4052.6</v>
      </c>
      <c r="N227" s="156"/>
      <c r="O227" s="157" t="n">
        <v>2</v>
      </c>
      <c r="P227" s="155" t="n">
        <v>4493.1</v>
      </c>
      <c r="Q227" s="155" t="n">
        <f aca="false">R227+S227</f>
        <v>4493.1</v>
      </c>
      <c r="R227" s="155" t="n">
        <f aca="false">4493.1</f>
        <v>4493.1</v>
      </c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34" t="s">
        <v>145</v>
      </c>
      <c r="C228" s="35" t="s">
        <v>20</v>
      </c>
      <c r="D228" s="35"/>
      <c r="E228" s="35" t="s">
        <v>98</v>
      </c>
      <c r="F228" s="36"/>
      <c r="G228" s="146" t="s">
        <v>22</v>
      </c>
      <c r="H228" s="169"/>
      <c r="I228" s="160"/>
      <c r="J228" s="160"/>
      <c r="K228" s="161"/>
      <c r="L228" s="161" t="n">
        <f aca="false">M228+N228</f>
        <v>0</v>
      </c>
      <c r="M228" s="161"/>
      <c r="N228" s="190"/>
      <c r="O228" s="163"/>
      <c r="P228" s="161"/>
      <c r="Q228" s="161" t="n">
        <f aca="false">R228+S228</f>
        <v>0</v>
      </c>
      <c r="R228" s="161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34"/>
      <c r="C229" s="34"/>
      <c r="D229" s="34"/>
      <c r="E229" s="34"/>
      <c r="F229" s="71"/>
      <c r="G229" s="164" t="s">
        <v>23</v>
      </c>
      <c r="H229" s="175"/>
      <c r="I229" s="165"/>
      <c r="J229" s="165"/>
      <c r="K229" s="166"/>
      <c r="L229" s="166" t="n">
        <f aca="false">M229+N229</f>
        <v>0</v>
      </c>
      <c r="M229" s="166"/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17"/>
      <c r="B230" s="18" t="s">
        <v>146</v>
      </c>
      <c r="C230" s="19" t="s">
        <v>20</v>
      </c>
      <c r="D230" s="19"/>
      <c r="E230" s="19" t="s">
        <v>25</v>
      </c>
      <c r="F230" s="22"/>
      <c r="G230" s="146" t="s">
        <v>22</v>
      </c>
      <c r="H230" s="173" t="n">
        <v>11</v>
      </c>
      <c r="I230" s="148" t="n">
        <v>6</v>
      </c>
      <c r="J230" s="148" t="n">
        <v>7</v>
      </c>
      <c r="K230" s="149" t="n">
        <v>6699.12</v>
      </c>
      <c r="L230" s="149" t="n">
        <f aca="false">M230+N230</f>
        <v>6699.12</v>
      </c>
      <c r="M230" s="149" t="n">
        <v>2819.2</v>
      </c>
      <c r="N230" s="190" t="n">
        <v>3879.92</v>
      </c>
      <c r="O230" s="206" t="n">
        <v>2</v>
      </c>
      <c r="P230" s="149" t="n">
        <v>15606.38</v>
      </c>
      <c r="Q230" s="149" t="n">
        <f aca="false">R230+S230</f>
        <v>1546.68</v>
      </c>
      <c r="R230" s="149" t="n">
        <v>1546.68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42" t="s">
        <v>219</v>
      </c>
      <c r="G231" s="164" t="s">
        <v>26</v>
      </c>
      <c r="H231" s="178" t="n">
        <v>2</v>
      </c>
      <c r="I231" s="165" t="n">
        <v>1</v>
      </c>
      <c r="J231" s="165" t="n">
        <v>1</v>
      </c>
      <c r="K231" s="166" t="n">
        <v>1585.8</v>
      </c>
      <c r="L231" s="166" t="n">
        <f aca="false">M231+N231</f>
        <v>0</v>
      </c>
      <c r="M231" s="166" t="n">
        <v>0</v>
      </c>
      <c r="N231" s="167"/>
      <c r="O231" s="238" t="n">
        <v>1</v>
      </c>
      <c r="P231" s="166" t="n">
        <v>1585.8</v>
      </c>
      <c r="Q231" s="166" t="n">
        <f aca="false">R231+S231</f>
        <v>1585.8</v>
      </c>
      <c r="R231" s="166" t="n">
        <v>1585.8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289</v>
      </c>
      <c r="C232" s="19"/>
      <c r="D232" s="19"/>
      <c r="E232" s="19"/>
      <c r="F232" s="20"/>
      <c r="G232" s="146" t="s">
        <v>22</v>
      </c>
      <c r="H232" s="173" t="n">
        <v>2</v>
      </c>
      <c r="I232" s="148" t="n">
        <v>1</v>
      </c>
      <c r="J232" s="148" t="n">
        <v>2</v>
      </c>
      <c r="K232" s="149" t="n">
        <v>2643</v>
      </c>
      <c r="L232" s="149" t="n">
        <f aca="false">M232+N232</f>
        <v>0</v>
      </c>
      <c r="M232" s="149"/>
      <c r="N232" s="224"/>
      <c r="O232" s="151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57"/>
      <c r="G233" s="152" t="s">
        <v>23</v>
      </c>
      <c r="H233" s="174" t="n">
        <v>1</v>
      </c>
      <c r="I233" s="154" t="n">
        <v>1</v>
      </c>
      <c r="J233" s="154" t="n">
        <v>1</v>
      </c>
      <c r="K233" s="155" t="n">
        <v>2325.84</v>
      </c>
      <c r="L233" s="155" t="n">
        <v>2325.84</v>
      </c>
      <c r="M233" s="155" t="n">
        <v>2325.84</v>
      </c>
      <c r="N233" s="226"/>
      <c r="O233" s="157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54"/>
      <c r="B234" s="55" t="s">
        <v>147</v>
      </c>
      <c r="C234" s="56" t="s">
        <v>20</v>
      </c>
      <c r="D234" s="56"/>
      <c r="E234" s="56" t="s">
        <v>25</v>
      </c>
      <c r="F234" s="97"/>
      <c r="G234" s="158" t="s">
        <v>22</v>
      </c>
      <c r="H234" s="159" t="n">
        <v>4</v>
      </c>
      <c r="I234" s="160" t="n">
        <v>3</v>
      </c>
      <c r="J234" s="160" t="n">
        <v>3</v>
      </c>
      <c r="K234" s="161" t="n">
        <v>2093.26</v>
      </c>
      <c r="L234" s="161" t="n">
        <f aca="false">M234+N234</f>
        <v>2093.26</v>
      </c>
      <c r="M234" s="161" t="n">
        <v>2093.26</v>
      </c>
      <c r="N234" s="190"/>
      <c r="O234" s="163" t="n">
        <v>4</v>
      </c>
      <c r="P234" s="161" t="n">
        <v>16436.74</v>
      </c>
      <c r="Q234" s="161" t="n">
        <f aca="false">R234+S234</f>
        <v>16436.74</v>
      </c>
      <c r="R234" s="161" t="n">
        <v>16436.74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54"/>
      <c r="B235" s="55"/>
      <c r="C235" s="55"/>
      <c r="D235" s="55"/>
      <c r="E235" s="55"/>
      <c r="F235" s="26" t="s">
        <v>220</v>
      </c>
      <c r="G235" s="152" t="s">
        <v>26</v>
      </c>
      <c r="H235" s="171" t="n">
        <v>12</v>
      </c>
      <c r="I235" s="154" t="n">
        <v>2</v>
      </c>
      <c r="J235" s="154" t="n">
        <v>3</v>
      </c>
      <c r="K235" s="155" t="n">
        <v>9162.4</v>
      </c>
      <c r="L235" s="189" t="n">
        <f aca="false">M235+N235</f>
        <v>528.6</v>
      </c>
      <c r="M235" s="155" t="n">
        <f aca="false">528.6</f>
        <v>528.6</v>
      </c>
      <c r="N235" s="167"/>
      <c r="O235" s="157" t="n">
        <v>5</v>
      </c>
      <c r="P235" s="155" t="n">
        <v>13038.8</v>
      </c>
      <c r="Q235" s="161" t="n">
        <f aca="false">R235+S235</f>
        <v>18677.2</v>
      </c>
      <c r="R235" s="155" t="n">
        <f aca="false">7048+528.6+5638.4+5462.2</f>
        <v>18677.2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17"/>
      <c r="B236" s="18" t="s">
        <v>148</v>
      </c>
      <c r="C236" s="19" t="s">
        <v>20</v>
      </c>
      <c r="D236" s="19"/>
      <c r="E236" s="19" t="s">
        <v>21</v>
      </c>
      <c r="F236" s="22"/>
      <c r="G236" s="146" t="s">
        <v>22</v>
      </c>
      <c r="H236" s="173" t="n">
        <v>2</v>
      </c>
      <c r="I236" s="148" t="n">
        <v>1</v>
      </c>
      <c r="J236" s="148" t="n">
        <v>1</v>
      </c>
      <c r="K236" s="149" t="n">
        <v>436.1</v>
      </c>
      <c r="L236" s="149" t="n">
        <f aca="false">M236+N236</f>
        <v>436.1</v>
      </c>
      <c r="M236" s="149" t="n">
        <v>436.1</v>
      </c>
      <c r="N236" s="198"/>
      <c r="O236" s="151" t="n">
        <v>1</v>
      </c>
      <c r="P236" s="149" t="n">
        <v>13232.99</v>
      </c>
      <c r="Q236" s="149" t="n">
        <f aca="false">R236+S236</f>
        <v>13232.99</v>
      </c>
      <c r="R236" s="149" t="n">
        <v>13232.99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248</v>
      </c>
      <c r="G237" s="152" t="s">
        <v>23</v>
      </c>
      <c r="H237" s="171" t="n">
        <v>2</v>
      </c>
      <c r="I237" s="154"/>
      <c r="J237" s="154"/>
      <c r="K237" s="155"/>
      <c r="L237" s="155" t="n">
        <f aca="false">M237+N237</f>
        <v>0</v>
      </c>
      <c r="M237" s="155"/>
      <c r="N237" s="156"/>
      <c r="O237" s="157" t="n">
        <v>1</v>
      </c>
      <c r="P237" s="155" t="n">
        <v>572.65</v>
      </c>
      <c r="Q237" s="155" t="n">
        <v>572.65</v>
      </c>
      <c r="R237" s="155" t="n">
        <v>572.65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99"/>
      <c r="B238" s="100" t="s">
        <v>149</v>
      </c>
      <c r="C238" s="100"/>
      <c r="D238" s="100"/>
      <c r="E238" s="100"/>
      <c r="F238" s="100"/>
      <c r="G238" s="212"/>
      <c r="H238" s="213" t="n">
        <f aca="false">SUM(H9:H237)</f>
        <v>1549</v>
      </c>
      <c r="I238" s="214" t="n">
        <f aca="false">SUM(I9:I237)</f>
        <v>891</v>
      </c>
      <c r="J238" s="214" t="n">
        <f aca="false">SUM(J9:J237)</f>
        <v>1010</v>
      </c>
      <c r="K238" s="215" t="n">
        <f aca="false">SUM(K9:K237)</f>
        <v>1533287.8</v>
      </c>
      <c r="L238" s="215" t="n">
        <f aca="false">SUM(L9:L237)</f>
        <v>945990.42</v>
      </c>
      <c r="M238" s="215" t="n">
        <f aca="false">SUM(M9:M237)</f>
        <v>760308.85</v>
      </c>
      <c r="N238" s="243" t="n">
        <f aca="false">SUM(N9:N237)</f>
        <v>194352.48</v>
      </c>
      <c r="O238" s="244" t="n">
        <f aca="false">SUM(O9:O237)</f>
        <v>942</v>
      </c>
      <c r="P238" s="245" t="n">
        <f aca="false">SUM(P9:P237)</f>
        <v>2939073.16</v>
      </c>
      <c r="Q238" s="245" t="n">
        <f aca="false">SUM(Q9:Q237)</f>
        <v>2362205.26</v>
      </c>
      <c r="R238" s="245" t="n">
        <f aca="false">SUM(R9:R237)</f>
        <v>1991250.34</v>
      </c>
      <c r="S238" s="246" t="n">
        <f aca="false">SUM(S9:S237)</f>
        <v>385336.42</v>
      </c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 t="s">
        <v>290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2"/>
      <c r="B242" s="2"/>
      <c r="C242" s="2"/>
      <c r="D242" s="2"/>
      <c r="E242" s="2"/>
      <c r="F242" s="103"/>
      <c r="G242" s="104" t="s">
        <v>5</v>
      </c>
      <c r="H242" s="104"/>
      <c r="I242" s="104"/>
      <c r="J242" s="104"/>
      <c r="K242" s="104"/>
      <c r="L242" s="104"/>
      <c r="M242" s="104"/>
      <c r="N242" s="104" t="s">
        <v>6</v>
      </c>
      <c r="O242" s="104"/>
      <c r="P242" s="104"/>
      <c r="Q242" s="104"/>
      <c r="R242" s="104"/>
      <c r="S242" s="105" t="s">
        <v>150</v>
      </c>
      <c r="T242" s="105" t="s">
        <v>253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103"/>
      <c r="G243" s="106" t="s">
        <v>13</v>
      </c>
      <c r="H243" s="106" t="s">
        <v>14</v>
      </c>
      <c r="I243" s="106" t="s">
        <v>15</v>
      </c>
      <c r="J243" s="106" t="s">
        <v>226</v>
      </c>
      <c r="K243" s="106" t="s">
        <v>16</v>
      </c>
      <c r="L243" s="106" t="s">
        <v>17</v>
      </c>
      <c r="M243" s="106" t="s">
        <v>18</v>
      </c>
      <c r="N243" s="106" t="s">
        <v>15</v>
      </c>
      <c r="O243" s="106" t="s">
        <v>226</v>
      </c>
      <c r="P243" s="106" t="s">
        <v>16</v>
      </c>
      <c r="Q243" s="106" t="s">
        <v>17</v>
      </c>
      <c r="R243" s="106" t="s">
        <v>18</v>
      </c>
      <c r="S243" s="105"/>
      <c r="T243" s="105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107" t="s">
        <v>22</v>
      </c>
      <c r="G244" s="108" t="n">
        <f aca="false">SUMIF($G$9:$G$237,$F$244,H9:H237)</f>
        <v>1010</v>
      </c>
      <c r="H244" s="108" t="n">
        <f aca="false">SUMIF($G$9:$G$237,$F$244,I9:I237)</f>
        <v>684</v>
      </c>
      <c r="I244" s="108" t="n">
        <f aca="false">SUMIF($G$9:$G$237,$F$244,J9:J237)</f>
        <v>798</v>
      </c>
      <c r="J244" s="110" t="n">
        <f aca="false">SUMIF($G$9:$G$237,F244,$K$9:$K$237)</f>
        <v>1192483.73</v>
      </c>
      <c r="K244" s="110" t="n">
        <f aca="false">SUMIF($G$9:$G$237,$F$244,L9:L237)</f>
        <v>824987.55</v>
      </c>
      <c r="L244" s="110" t="n">
        <f aca="false">SUMIF($G$9:$G$237,$F$244,M9:M237)</f>
        <v>657434.69</v>
      </c>
      <c r="M244" s="110" t="n">
        <f aca="false">SUMIF($G$9:$G$237,$F$244,N9:N237)</f>
        <v>167552.86</v>
      </c>
      <c r="N244" s="108" t="n">
        <f aca="false">SUMIF($G$9:$G$237,$F$244,O9:O237)</f>
        <v>632</v>
      </c>
      <c r="O244" s="110" t="n">
        <f aca="false">SUMIF($G$9:$G$237,F244,$P$9:$P$237)</f>
        <v>2269253.49</v>
      </c>
      <c r="P244" s="110" t="n">
        <f aca="false">SUMIF($G$9:$G$237,$F$244,Q9:Q237)</f>
        <v>1849595.6</v>
      </c>
      <c r="Q244" s="110" t="n">
        <f aca="false">SUMIF($G$9:$G$237,$F$244,R9:R237)</f>
        <v>1508224.5</v>
      </c>
      <c r="R244" s="110" t="n">
        <f aca="false">SUMIF($G$9:$G$237,$F$244,S9:S237)</f>
        <v>341371.1</v>
      </c>
      <c r="S244" s="110" t="n">
        <f aca="false">Q244+L244</f>
        <v>2165659.19</v>
      </c>
      <c r="T244" s="111" t="n">
        <f aca="false">J244-L244+O244-Q244</f>
        <v>1296078.03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107" t="s">
        <v>26</v>
      </c>
      <c r="G245" s="108" t="n">
        <f aca="false">SUMIF($G$9:$G$237,$F$245,H9:H237)</f>
        <v>337</v>
      </c>
      <c r="H245" s="108" t="n">
        <v>20</v>
      </c>
      <c r="I245" s="108" t="n">
        <f aca="false">SUMIF($G$9:$G$237,$F$245,J9:J237)</f>
        <v>105</v>
      </c>
      <c r="J245" s="110" t="n">
        <f aca="false">SUMIF($G$9:$G$237,F245,$K$9:$K$237)</f>
        <v>199545.26</v>
      </c>
      <c r="K245" s="110" t="n">
        <f aca="false">SUMIF($G$9:$G$237,$F$245,L9:L237)</f>
        <v>85164.74</v>
      </c>
      <c r="L245" s="110" t="n">
        <f aca="false">SUMIF($G$9:$G$237,$F$245,M9:M237)</f>
        <v>67036.03</v>
      </c>
      <c r="M245" s="110" t="n">
        <f aca="false">SUMIF($G$9:$G$237,$F$245,N9:N237)</f>
        <v>18128.71</v>
      </c>
      <c r="N245" s="108" t="n">
        <f aca="false">SUMIF($G$9:$G$237,$F$245,O9:O237)</f>
        <v>206</v>
      </c>
      <c r="O245" s="110" t="n">
        <f aca="false">SUMIF($G$9:$G$237,F245,$P$9:$P$237)</f>
        <v>450001.6</v>
      </c>
      <c r="P245" s="110" t="n">
        <f aca="false">SUMIF($G$9:$G$237,$F$245,Q9:Q237)</f>
        <v>388447.79</v>
      </c>
      <c r="Q245" s="110" t="n">
        <f aca="false">SUMIF($G$9:$G$237,$F$245,R9:R237)</f>
        <v>358863.97</v>
      </c>
      <c r="R245" s="110" t="n">
        <f aca="false">SUMIF($G$9:$G$237,$F$245,S9:S237)</f>
        <v>29583.82</v>
      </c>
      <c r="S245" s="110" t="n">
        <f aca="false">Q245+L245</f>
        <v>425900</v>
      </c>
      <c r="T245" s="111" t="n">
        <f aca="false">J245-L245+O245-Q245</f>
        <v>223646.86</v>
      </c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107" t="s">
        <v>23</v>
      </c>
      <c r="G246" s="108" t="n">
        <f aca="false">SUMIF($G$9:$G$237,$F$246,H9:H237)</f>
        <v>202</v>
      </c>
      <c r="H246" s="108" t="n">
        <f aca="false">SUMIF($G$9:$G$237,$F$246,I9:I237)</f>
        <v>107</v>
      </c>
      <c r="I246" s="108" t="n">
        <f aca="false">SUMIF($G$9:$G$237,$F$246,J9:J237)</f>
        <v>107</v>
      </c>
      <c r="J246" s="110" t="n">
        <f aca="false">SUMIF($G$9:$G$237,F246,$K$9:$K$237)</f>
        <v>141258.81</v>
      </c>
      <c r="K246" s="110" t="n">
        <f aca="false">SUMIF($G$9:$G$237,$F$246,L9:L237)</f>
        <v>35838.13</v>
      </c>
      <c r="L246" s="110" t="n">
        <f aca="false">SUMIF($G$9:$G$237,$F$246,M9:M237)</f>
        <v>35838.13</v>
      </c>
      <c r="M246" s="110" t="n">
        <f aca="false">SUMIF($G$9:$G$237,$F$246,N9:N237)</f>
        <v>8670.91</v>
      </c>
      <c r="N246" s="108" t="n">
        <f aca="false">SUMIF($G$9:$G$237,$F$246,O9:O237)</f>
        <v>104</v>
      </c>
      <c r="O246" s="110" t="n">
        <f aca="false">SUMIF($G$9:$G$237,F246,$P$9:$P$237)</f>
        <v>219818.07</v>
      </c>
      <c r="P246" s="110" t="n">
        <f aca="false">SUMIF($G$9:$G$237,$F$246,Q9:Q237)</f>
        <v>124161.87</v>
      </c>
      <c r="Q246" s="110" t="n">
        <f aca="false">SUMIF($G$9:$G$237,$F$246,R9:R237)</f>
        <v>124161.87</v>
      </c>
      <c r="R246" s="110" t="n">
        <f aca="false">SUMIF($G$9:$G$237,$F$246,S9:S237)</f>
        <v>14381.5</v>
      </c>
      <c r="S246" s="110" t="n">
        <f aca="false">Q246+L246</f>
        <v>160000</v>
      </c>
      <c r="T246" s="111" t="n">
        <f aca="false">J246-L246+O246-Q246</f>
        <v>201076.88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16" t="n">
        <f aca="false">G246+G245+G244</f>
        <v>1549</v>
      </c>
      <c r="H247" s="216" t="n">
        <f aca="false">H246+H245+H244</f>
        <v>811</v>
      </c>
      <c r="I247" s="216" t="n">
        <f aca="false">I246+I245+I244</f>
        <v>1010</v>
      </c>
      <c r="J247" s="217" t="n">
        <f aca="false">J246+J245+J244</f>
        <v>1533287.8</v>
      </c>
      <c r="K247" s="217" t="n">
        <f aca="false">K246+K245+K244</f>
        <v>945990.42</v>
      </c>
      <c r="L247" s="217" t="n">
        <f aca="false">L246+L245+L244</f>
        <v>760308.85</v>
      </c>
      <c r="M247" s="217" t="n">
        <f aca="false">M246+M245+M244</f>
        <v>194352.48</v>
      </c>
      <c r="N247" s="216" t="n">
        <f aca="false">N246+N245+N244</f>
        <v>942</v>
      </c>
      <c r="O247" s="217" t="n">
        <f aca="false">O246+O245+O244</f>
        <v>2939073.16</v>
      </c>
      <c r="P247" s="217" t="n">
        <f aca="false">P246+P245+P244</f>
        <v>2362205.26</v>
      </c>
      <c r="Q247" s="217" t="n">
        <f aca="false">Q246+Q245+Q244</f>
        <v>1991250.34</v>
      </c>
      <c r="R247" s="217" t="n">
        <f aca="false">R246+R245+R244</f>
        <v>385336.42</v>
      </c>
      <c r="S247" s="217" t="n">
        <f aca="false">S246+S245+S244</f>
        <v>2751559.19</v>
      </c>
      <c r="T247" s="217" t="n">
        <f aca="false">T246+T245+T244</f>
        <v>1720801.77</v>
      </c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F308" s="0" t="s">
        <v>22</v>
      </c>
      <c r="G308" s="0" t="n">
        <v>855</v>
      </c>
      <c r="H308" s="247" t="n">
        <v>470</v>
      </c>
      <c r="I308" s="247" t="n">
        <v>533</v>
      </c>
      <c r="J308" s="0" t="n">
        <v>698634.28</v>
      </c>
      <c r="K308" s="236" t="n">
        <v>578741.37</v>
      </c>
      <c r="L308" s="0" t="n">
        <v>208301.67</v>
      </c>
      <c r="M308" s="0" t="n">
        <v>370439.7</v>
      </c>
      <c r="N308" s="0" t="n">
        <v>549</v>
      </c>
      <c r="O308" s="0" t="n">
        <v>1707859.19</v>
      </c>
      <c r="P308" s="0" t="n">
        <v>1387209.08</v>
      </c>
      <c r="Q308" s="0" t="n">
        <v>868523.33</v>
      </c>
      <c r="R308" s="0" t="n">
        <v>518685.75</v>
      </c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</sheetData>
  <mergeCells count="56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4"/>
    <mergeCell ref="B122:B124"/>
    <mergeCell ref="C122:C124"/>
    <mergeCell ref="D122:D124"/>
    <mergeCell ref="E122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5"/>
    <mergeCell ref="B133:B135"/>
    <mergeCell ref="C133:C135"/>
    <mergeCell ref="D133:D135"/>
    <mergeCell ref="E133:E135"/>
    <mergeCell ref="A136:A137"/>
    <mergeCell ref="B136:B137"/>
    <mergeCell ref="C136:C137"/>
    <mergeCell ref="D136:D137"/>
    <mergeCell ref="E136:E137"/>
    <mergeCell ref="A138:A140"/>
    <mergeCell ref="B138:B140"/>
    <mergeCell ref="C138:C140"/>
    <mergeCell ref="D138:D140"/>
    <mergeCell ref="E138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3"/>
    <mergeCell ref="B171:B173"/>
    <mergeCell ref="C171:C173"/>
    <mergeCell ref="D171:D173"/>
    <mergeCell ref="E171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B180:B181"/>
    <mergeCell ref="D180:D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F242:F243"/>
    <mergeCell ref="G242:M242"/>
    <mergeCell ref="N242:R242"/>
    <mergeCell ref="S242:S243"/>
    <mergeCell ref="T242:T24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5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7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20</v>
      </c>
      <c r="I11" s="160" t="n">
        <v>15</v>
      </c>
      <c r="J11" s="160" t="n">
        <v>25</v>
      </c>
      <c r="K11" s="161" t="n">
        <v>47754.54</v>
      </c>
      <c r="L11" s="161" t="n">
        <f aca="false">M11+N11</f>
        <v>28456.91</v>
      </c>
      <c r="M11" s="161" t="n">
        <v>28456.91</v>
      </c>
      <c r="N11" s="239"/>
      <c r="O11" s="151" t="n">
        <v>9</v>
      </c>
      <c r="P11" s="149" t="n">
        <v>39893.36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19</v>
      </c>
      <c r="J13" s="148" t="n">
        <v>27</v>
      </c>
      <c r="K13" s="149" t="n">
        <v>33453.7</v>
      </c>
      <c r="L13" s="149" t="n">
        <f aca="false">M13+N13</f>
        <v>26104.4</v>
      </c>
      <c r="M13" s="149" t="n">
        <v>26104.4</v>
      </c>
      <c r="N13" s="249"/>
      <c r="O13" s="228" t="n">
        <v>5</v>
      </c>
      <c r="P13" s="161" t="n">
        <v>14423.5</v>
      </c>
      <c r="Q13" s="161" t="n">
        <f aca="false">R13+S13</f>
        <v>12388.39</v>
      </c>
      <c r="R13" s="161" t="n">
        <v>12388.39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5462.2</v>
      </c>
      <c r="M14" s="155" t="n">
        <f aca="false">1938.2</f>
        <v>1938.2</v>
      </c>
      <c r="N14" s="156" t="n">
        <v>3524</v>
      </c>
      <c r="O14" s="209" t="n">
        <v>7</v>
      </c>
      <c r="P14" s="155" t="n">
        <v>11273.8</v>
      </c>
      <c r="Q14" s="155" t="n">
        <f aca="false">R14+S14</f>
        <v>15497.5</v>
      </c>
      <c r="R14" s="155" t="n">
        <f aca="false">1585.8+2106.3+5109.8+2114.4</f>
        <v>10916.3</v>
      </c>
      <c r="S14" s="167" t="n">
        <v>4581.2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/>
      <c r="N16" s="156" t="n">
        <f aca="false">4405</f>
        <v>4405</v>
      </c>
      <c r="O16" s="168" t="n">
        <v>4</v>
      </c>
      <c r="P16" s="166" t="n">
        <v>19515.9</v>
      </c>
      <c r="Q16" s="166" t="n">
        <f aca="false">R16+S16</f>
        <v>15858</v>
      </c>
      <c r="R16" s="166" t="n">
        <f aca="false">10924.4</f>
        <v>10924.4</v>
      </c>
      <c r="S16" s="167" t="n">
        <f aca="false">4933.6</f>
        <v>4933.6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229</v>
      </c>
      <c r="C17" s="19"/>
      <c r="D17" s="19"/>
      <c r="E17" s="19"/>
      <c r="F17" s="20"/>
      <c r="G17" s="146" t="s">
        <v>22</v>
      </c>
      <c r="H17" s="173" t="n">
        <v>5</v>
      </c>
      <c r="I17" s="148" t="n">
        <v>1</v>
      </c>
      <c r="J17" s="148" t="n">
        <v>1</v>
      </c>
      <c r="K17" s="149" t="n">
        <v>528.6</v>
      </c>
      <c r="L17" s="149" t="n">
        <f aca="false">M17+N17</f>
        <v>0</v>
      </c>
      <c r="M17" s="149"/>
      <c r="N17" s="239"/>
      <c r="O17" s="151"/>
      <c r="P17" s="149"/>
      <c r="Q17" s="149" t="n">
        <v>0</v>
      </c>
      <c r="R17" s="149" t="n">
        <v>0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26" t="s">
        <v>264</v>
      </c>
      <c r="G18" s="152" t="s">
        <v>26</v>
      </c>
      <c r="H18" s="174" t="n">
        <v>5</v>
      </c>
      <c r="I18" s="154" t="n">
        <v>2</v>
      </c>
      <c r="J18" s="154" t="n">
        <v>2</v>
      </c>
      <c r="K18" s="155" t="n">
        <v>1389.4</v>
      </c>
      <c r="L18" s="155" t="n">
        <f aca="false">M18+N18</f>
        <v>704.8</v>
      </c>
      <c r="M18" s="155" t="n">
        <f aca="false">704.8</f>
        <v>704.8</v>
      </c>
      <c r="N18" s="226"/>
      <c r="O18" s="157"/>
      <c r="P18" s="155"/>
      <c r="Q18" s="155" t="n">
        <f aca="false">R18+S18</f>
        <v>0</v>
      </c>
      <c r="R18" s="155" t="n">
        <v>0</v>
      </c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29</v>
      </c>
      <c r="C19" s="56" t="s">
        <v>20</v>
      </c>
      <c r="D19" s="56" t="s">
        <v>30</v>
      </c>
      <c r="E19" s="56" t="s">
        <v>31</v>
      </c>
      <c r="F19" s="97"/>
      <c r="G19" s="158" t="s">
        <v>22</v>
      </c>
      <c r="H19" s="159" t="n">
        <v>18</v>
      </c>
      <c r="I19" s="160" t="n">
        <v>11</v>
      </c>
      <c r="J19" s="160" t="n">
        <v>12</v>
      </c>
      <c r="K19" s="161" t="n">
        <v>14830.79</v>
      </c>
      <c r="L19" s="161" t="n">
        <f aca="false">M19+N19</f>
        <v>13377.14</v>
      </c>
      <c r="M19" s="161" t="n">
        <v>4012.08</v>
      </c>
      <c r="N19" s="190" t="n">
        <v>9365.06</v>
      </c>
      <c r="O19" s="163" t="n">
        <v>19</v>
      </c>
      <c r="P19" s="161" t="n">
        <v>43580.22</v>
      </c>
      <c r="Q19" s="161" t="n">
        <f aca="false">R19+S19</f>
        <v>36873.8</v>
      </c>
      <c r="R19" s="161" t="n">
        <v>17766.28</v>
      </c>
      <c r="S19" s="190" t="n">
        <v>19107.52</v>
      </c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26"/>
      <c r="G20" s="152" t="s">
        <v>26</v>
      </c>
      <c r="H20" s="171" t="n">
        <v>3</v>
      </c>
      <c r="I20" s="154" t="n">
        <v>1</v>
      </c>
      <c r="J20" s="154" t="n">
        <v>1</v>
      </c>
      <c r="K20" s="155" t="n">
        <v>1762</v>
      </c>
      <c r="L20" s="155" t="n">
        <f aca="false">M20+N20</f>
        <v>0</v>
      </c>
      <c r="M20" s="155"/>
      <c r="N20" s="156"/>
      <c r="O20" s="157" t="n">
        <v>3</v>
      </c>
      <c r="P20" s="155"/>
      <c r="Q20" s="155" t="n">
        <f aca="false">R20+S20</f>
        <v>0</v>
      </c>
      <c r="R20" s="155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54"/>
      <c r="B21" s="55" t="s">
        <v>32</v>
      </c>
      <c r="C21" s="56" t="s">
        <v>33</v>
      </c>
      <c r="D21" s="56" t="s">
        <v>34</v>
      </c>
      <c r="E21" s="56" t="s">
        <v>35</v>
      </c>
      <c r="F21" s="36"/>
      <c r="G21" s="146" t="s">
        <v>22</v>
      </c>
      <c r="H21" s="159" t="n">
        <v>24</v>
      </c>
      <c r="I21" s="160" t="n">
        <v>17</v>
      </c>
      <c r="J21" s="160" t="n">
        <v>28</v>
      </c>
      <c r="K21" s="161" t="n">
        <v>37859.19</v>
      </c>
      <c r="L21" s="161" t="n">
        <f aca="false">M21+N21</f>
        <v>28289.78</v>
      </c>
      <c r="M21" s="161" t="n">
        <v>24311.18</v>
      </c>
      <c r="N21" s="190" t="n">
        <v>3978.6</v>
      </c>
      <c r="O21" s="151" t="n">
        <v>22</v>
      </c>
      <c r="P21" s="149" t="n">
        <v>47120.13</v>
      </c>
      <c r="Q21" s="149" t="n">
        <f aca="false">R21+S21</f>
        <v>34926.57</v>
      </c>
      <c r="R21" s="149" t="n">
        <v>27767.21</v>
      </c>
      <c r="S21" s="198" t="n">
        <v>7159.36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42" t="s">
        <v>230</v>
      </c>
      <c r="G22" s="164" t="s">
        <v>23</v>
      </c>
      <c r="H22" s="172" t="n">
        <v>2</v>
      </c>
      <c r="I22" s="165"/>
      <c r="J22" s="165"/>
      <c r="K22" s="166"/>
      <c r="L22" s="166" t="n">
        <f aca="false">M22+N22</f>
        <v>0</v>
      </c>
      <c r="M22" s="166"/>
      <c r="N22" s="156"/>
      <c r="O22" s="157" t="n">
        <v>4</v>
      </c>
      <c r="P22" s="155" t="n">
        <v>5462.2</v>
      </c>
      <c r="Q22" s="155" t="n">
        <v>704.8</v>
      </c>
      <c r="R22" s="155" t="n">
        <v>704.8</v>
      </c>
      <c r="S22" s="156" t="n">
        <v>1145.3</v>
      </c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17"/>
      <c r="B23" s="18" t="s">
        <v>162</v>
      </c>
      <c r="C23" s="19"/>
      <c r="D23" s="19"/>
      <c r="E23" s="19"/>
      <c r="F23" s="20"/>
      <c r="G23" s="146" t="s">
        <v>22</v>
      </c>
      <c r="H23" s="173" t="n">
        <v>18</v>
      </c>
      <c r="I23" s="148" t="n">
        <v>13</v>
      </c>
      <c r="J23" s="148" t="n">
        <v>13</v>
      </c>
      <c r="K23" s="148" t="n">
        <v>4140.7</v>
      </c>
      <c r="L23" s="149" t="n">
        <f aca="false">M23+N23</f>
        <v>4140.7</v>
      </c>
      <c r="M23" s="149" t="n">
        <v>4140.7</v>
      </c>
      <c r="N23" s="190"/>
      <c r="O23" s="151"/>
      <c r="P23" s="149"/>
      <c r="Q23" s="149" t="n">
        <f aca="false">R23+S23</f>
        <v>0</v>
      </c>
      <c r="R23" s="149"/>
      <c r="S23" s="190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17"/>
      <c r="B24" s="18"/>
      <c r="C24" s="18"/>
      <c r="D24" s="18"/>
      <c r="E24" s="18"/>
      <c r="F24" s="57"/>
      <c r="G24" s="152" t="s">
        <v>26</v>
      </c>
      <c r="H24" s="174" t="n">
        <v>5</v>
      </c>
      <c r="I24" s="154" t="n">
        <v>1</v>
      </c>
      <c r="J24" s="154" t="n">
        <v>1</v>
      </c>
      <c r="K24" s="155" t="n">
        <v>1409.6</v>
      </c>
      <c r="L24" s="155" t="n">
        <f aca="false">M24+N24</f>
        <v>0</v>
      </c>
      <c r="M24" s="155"/>
      <c r="N24" s="156"/>
      <c r="O24" s="157"/>
      <c r="P24" s="155"/>
      <c r="Q24" s="155" t="n">
        <f aca="false">R24+S24</f>
        <v>0</v>
      </c>
      <c r="R24" s="155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33"/>
      <c r="B25" s="34" t="s">
        <v>36</v>
      </c>
      <c r="C25" s="35" t="s">
        <v>20</v>
      </c>
      <c r="D25" s="35"/>
      <c r="E25" s="35" t="s">
        <v>25</v>
      </c>
      <c r="F25" s="36"/>
      <c r="G25" s="158" t="s">
        <v>22</v>
      </c>
      <c r="H25" s="159" t="n">
        <v>23</v>
      </c>
      <c r="I25" s="160" t="n">
        <v>22</v>
      </c>
      <c r="J25" s="160" t="n">
        <v>31</v>
      </c>
      <c r="K25" s="161" t="n">
        <v>45350.03</v>
      </c>
      <c r="L25" s="161" t="n">
        <f aca="false">M25+N25</f>
        <v>43954.53</v>
      </c>
      <c r="M25" s="161" t="n">
        <v>33328.26</v>
      </c>
      <c r="N25" s="190" t="n">
        <v>10626.27</v>
      </c>
      <c r="O25" s="151" t="n">
        <v>8</v>
      </c>
      <c r="P25" s="149" t="n">
        <v>21503.23</v>
      </c>
      <c r="Q25" s="149" t="n">
        <f aca="false">R25+S25</f>
        <v>20128.87</v>
      </c>
      <c r="R25" s="149" t="n">
        <v>10769.07</v>
      </c>
      <c r="S25" s="198" t="n">
        <v>9359.8</v>
      </c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33"/>
      <c r="B26" s="34"/>
      <c r="C26" s="34"/>
      <c r="D26" s="34"/>
      <c r="E26" s="34"/>
      <c r="F26" s="42" t="s">
        <v>163</v>
      </c>
      <c r="G26" s="164" t="s">
        <v>26</v>
      </c>
      <c r="H26" s="153" t="n">
        <v>5</v>
      </c>
      <c r="I26" s="165" t="n">
        <v>3</v>
      </c>
      <c r="J26" s="165" t="n">
        <v>3</v>
      </c>
      <c r="K26" s="166" t="n">
        <v>2114.4</v>
      </c>
      <c r="L26" s="166" t="n">
        <f aca="false">M26+N26</f>
        <v>1409.6</v>
      </c>
      <c r="M26" s="166"/>
      <c r="N26" s="156" t="n">
        <v>1409.6</v>
      </c>
      <c r="O26" s="157" t="n">
        <v>11</v>
      </c>
      <c r="P26" s="155" t="n">
        <v>19558.2</v>
      </c>
      <c r="Q26" s="155" t="n">
        <f aca="false">R26+S26</f>
        <v>28368.2</v>
      </c>
      <c r="R26" s="155" t="n">
        <f aca="false">2995.4+14272.2</f>
        <v>17267.6</v>
      </c>
      <c r="S26" s="156" t="n">
        <f aca="false">11100.6</f>
        <v>11100.6</v>
      </c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" hidden="false" customHeight="true" outlineLevel="0" collapsed="false">
      <c r="A27" s="17"/>
      <c r="B27" s="18" t="s">
        <v>37</v>
      </c>
      <c r="C27" s="19" t="s">
        <v>38</v>
      </c>
      <c r="D27" s="19" t="s">
        <v>39</v>
      </c>
      <c r="E27" s="19" t="s">
        <v>25</v>
      </c>
      <c r="F27" s="22"/>
      <c r="G27" s="146" t="s">
        <v>22</v>
      </c>
      <c r="H27" s="159" t="n">
        <v>1</v>
      </c>
      <c r="I27" s="148" t="n">
        <v>1</v>
      </c>
      <c r="J27" s="148" t="n">
        <v>1</v>
      </c>
      <c r="K27" s="149" t="n">
        <v>1550.56</v>
      </c>
      <c r="L27" s="149" t="n">
        <f aca="false">M27+N27</f>
        <v>1550.56</v>
      </c>
      <c r="M27" s="149"/>
      <c r="N27" s="190" t="n">
        <v>1550.56</v>
      </c>
      <c r="O27" s="151" t="n">
        <v>4</v>
      </c>
      <c r="P27" s="149" t="n">
        <v>14655.02</v>
      </c>
      <c r="Q27" s="149" t="n">
        <f aca="false">R27+S27</f>
        <v>6373.62</v>
      </c>
      <c r="R27" s="149" t="n">
        <v>6373.62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8.75" hidden="false" customHeight="true" outlineLevel="0" collapsed="false">
      <c r="A28" s="17"/>
      <c r="B28" s="18"/>
      <c r="C28" s="18"/>
      <c r="D28" s="18"/>
      <c r="E28" s="18"/>
      <c r="F28" s="42" t="s">
        <v>164</v>
      </c>
      <c r="G28" s="164" t="s">
        <v>26</v>
      </c>
      <c r="H28" s="175" t="n">
        <v>4</v>
      </c>
      <c r="I28" s="165" t="n">
        <v>3</v>
      </c>
      <c r="J28" s="165" t="n">
        <v>3</v>
      </c>
      <c r="K28" s="166" t="n">
        <v>6695.6</v>
      </c>
      <c r="L28" s="166" t="n">
        <f aca="false">M28+N28</f>
        <v>6695.6</v>
      </c>
      <c r="M28" s="166" t="n">
        <f aca="false">4052.6</f>
        <v>4052.6</v>
      </c>
      <c r="N28" s="167" t="n">
        <f aca="false">2643</f>
        <v>2643</v>
      </c>
      <c r="O28" s="168" t="n">
        <v>9</v>
      </c>
      <c r="P28" s="166" t="n">
        <v>19381.4</v>
      </c>
      <c r="Q28" s="166" t="n">
        <f aca="false">R28+S28</f>
        <v>17267.7</v>
      </c>
      <c r="R28" s="166" t="n">
        <f aca="false">5286+2290.6-23.95+9715.05</f>
        <v>17267.7</v>
      </c>
      <c r="S28" s="167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17"/>
      <c r="B29" s="18" t="s">
        <v>291</v>
      </c>
      <c r="C29" s="19"/>
      <c r="D29" s="19"/>
      <c r="E29" s="19"/>
      <c r="F29" s="20"/>
      <c r="G29" s="146" t="s">
        <v>22</v>
      </c>
      <c r="H29" s="147"/>
      <c r="I29" s="148"/>
      <c r="J29" s="148"/>
      <c r="K29" s="149"/>
      <c r="L29" s="149" t="n">
        <f aca="false">M29+N29</f>
        <v>0</v>
      </c>
      <c r="M29" s="149"/>
      <c r="N29" s="150"/>
      <c r="O29" s="206" t="n">
        <v>1</v>
      </c>
      <c r="P29" s="149" t="n">
        <v>36290.52</v>
      </c>
      <c r="Q29" s="149" t="n">
        <v>36290.52</v>
      </c>
      <c r="R29" s="149" t="n">
        <v>36290.52</v>
      </c>
      <c r="S29" s="150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17"/>
      <c r="B30" s="18"/>
      <c r="C30" s="18"/>
      <c r="D30" s="18"/>
      <c r="E30" s="18"/>
      <c r="F30" s="57"/>
      <c r="G30" s="152" t="s">
        <v>26</v>
      </c>
      <c r="H30" s="176"/>
      <c r="I30" s="154"/>
      <c r="J30" s="154"/>
      <c r="K30" s="155"/>
      <c r="L30" s="155" t="n">
        <f aca="false">M30+N30</f>
        <v>0</v>
      </c>
      <c r="M30" s="155"/>
      <c r="N30" s="156"/>
      <c r="O30" s="209"/>
      <c r="P30" s="155"/>
      <c r="Q30" s="155" t="n">
        <v>0</v>
      </c>
      <c r="R30" s="155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54"/>
      <c r="B31" s="55" t="s">
        <v>153</v>
      </c>
      <c r="C31" s="56" t="s">
        <v>20</v>
      </c>
      <c r="D31" s="56"/>
      <c r="E31" s="56" t="s">
        <v>278</v>
      </c>
      <c r="F31" s="36"/>
      <c r="G31" s="158" t="s">
        <v>22</v>
      </c>
      <c r="H31" s="169" t="n">
        <v>7</v>
      </c>
      <c r="I31" s="160" t="n">
        <v>3</v>
      </c>
      <c r="J31" s="160" t="n">
        <v>3</v>
      </c>
      <c r="K31" s="161" t="n">
        <v>4864.84</v>
      </c>
      <c r="L31" s="161" t="n">
        <f aca="false">M31+N31</f>
        <v>0</v>
      </c>
      <c r="M31" s="161"/>
      <c r="N31" s="190"/>
      <c r="O31" s="163"/>
      <c r="P31" s="161"/>
      <c r="Q31" s="161" t="n">
        <f aca="false">R31+S31</f>
        <v>0</v>
      </c>
      <c r="R31" s="161"/>
      <c r="S31" s="19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54"/>
      <c r="B32" s="55"/>
      <c r="C32" s="55"/>
      <c r="D32" s="55"/>
      <c r="E32" s="55"/>
      <c r="F32" s="42" t="s">
        <v>231</v>
      </c>
      <c r="G32" s="164" t="s">
        <v>23</v>
      </c>
      <c r="H32" s="178" t="n">
        <v>11</v>
      </c>
      <c r="I32" s="165" t="n">
        <v>1</v>
      </c>
      <c r="J32" s="165" t="n">
        <v>1</v>
      </c>
      <c r="K32" s="166" t="n">
        <v>2114.4</v>
      </c>
      <c r="L32" s="166" t="n">
        <f aca="false">M32+N32</f>
        <v>0</v>
      </c>
      <c r="M32" s="166"/>
      <c r="N32" s="167"/>
      <c r="O32" s="168"/>
      <c r="P32" s="166"/>
      <c r="Q32" s="166" t="n">
        <f aca="false">R32+S32</f>
        <v>0</v>
      </c>
      <c r="R32" s="166"/>
      <c r="S32" s="167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17"/>
      <c r="B33" s="55" t="s">
        <v>292</v>
      </c>
      <c r="C33" s="19"/>
      <c r="D33" s="19"/>
      <c r="E33" s="19"/>
      <c r="F33" s="20"/>
      <c r="G33" s="146" t="s">
        <v>22</v>
      </c>
      <c r="H33" s="147" t="n">
        <v>1</v>
      </c>
      <c r="I33" s="148"/>
      <c r="J33" s="148"/>
      <c r="K33" s="149"/>
      <c r="L33" s="149" t="n">
        <f aca="false">M33+N33</f>
        <v>0</v>
      </c>
      <c r="M33" s="149"/>
      <c r="N33" s="150"/>
      <c r="O33" s="206"/>
      <c r="P33" s="149"/>
      <c r="Q33" s="149" t="n">
        <v>0</v>
      </c>
      <c r="R33" s="149"/>
      <c r="S33" s="15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17"/>
      <c r="B34" s="55"/>
      <c r="C34" s="55"/>
      <c r="D34" s="55"/>
      <c r="E34" s="55"/>
      <c r="F34" s="57"/>
      <c r="G34" s="152" t="s">
        <v>26</v>
      </c>
      <c r="H34" s="176"/>
      <c r="I34" s="154"/>
      <c r="J34" s="154"/>
      <c r="K34" s="155"/>
      <c r="L34" s="155" t="n">
        <f aca="false">M34+N34</f>
        <v>0</v>
      </c>
      <c r="M34" s="155"/>
      <c r="N34" s="156"/>
      <c r="O34" s="209"/>
      <c r="P34" s="155"/>
      <c r="Q34" s="155" t="n">
        <v>0</v>
      </c>
      <c r="R34" s="155"/>
      <c r="S34" s="156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54"/>
      <c r="B35" s="55" t="s">
        <v>232</v>
      </c>
      <c r="C35" s="56"/>
      <c r="D35" s="56"/>
      <c r="E35" s="56"/>
      <c r="F35" s="36"/>
      <c r="G35" s="158" t="s">
        <v>22</v>
      </c>
      <c r="H35" s="169" t="n">
        <v>14</v>
      </c>
      <c r="I35" s="160" t="n">
        <v>9</v>
      </c>
      <c r="J35" s="160" t="n">
        <v>10</v>
      </c>
      <c r="K35" s="161" t="n">
        <v>18443.74</v>
      </c>
      <c r="L35" s="161" t="n">
        <f aca="false">M35+N35</f>
        <v>16153.14</v>
      </c>
      <c r="M35" s="161" t="n">
        <v>881</v>
      </c>
      <c r="N35" s="190" t="n">
        <v>15272.14</v>
      </c>
      <c r="O35" s="228"/>
      <c r="P35" s="161"/>
      <c r="Q35" s="161" t="n">
        <f aca="false">R35+S35</f>
        <v>0</v>
      </c>
      <c r="R35" s="161"/>
      <c r="S35" s="19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54"/>
      <c r="B36" s="55"/>
      <c r="C36" s="55"/>
      <c r="D36" s="55"/>
      <c r="E36" s="55"/>
      <c r="F36" s="26" t="s">
        <v>265</v>
      </c>
      <c r="G36" s="152" t="s">
        <v>26</v>
      </c>
      <c r="H36" s="176" t="n">
        <v>6</v>
      </c>
      <c r="I36" s="154" t="n">
        <v>3</v>
      </c>
      <c r="J36" s="154" t="n">
        <v>3</v>
      </c>
      <c r="K36" s="155" t="n">
        <v>6343.2</v>
      </c>
      <c r="L36" s="155" t="n">
        <f aca="false">M36+N36</f>
        <v>704.8</v>
      </c>
      <c r="M36" s="155" t="n">
        <f aca="false">704.8</f>
        <v>704.8</v>
      </c>
      <c r="N36" s="156"/>
      <c r="O36" s="209"/>
      <c r="P36" s="155"/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40</v>
      </c>
      <c r="C37" s="56" t="s">
        <v>38</v>
      </c>
      <c r="D37" s="56" t="s">
        <v>41</v>
      </c>
      <c r="E37" s="56" t="s">
        <v>42</v>
      </c>
      <c r="F37" s="36"/>
      <c r="G37" s="158" t="s">
        <v>22</v>
      </c>
      <c r="H37" s="169"/>
      <c r="I37" s="160"/>
      <c r="J37" s="160"/>
      <c r="K37" s="161"/>
      <c r="L37" s="161" t="n">
        <f aca="false">M37+N37</f>
        <v>0</v>
      </c>
      <c r="M37" s="161"/>
      <c r="N37" s="190"/>
      <c r="O37" s="163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57"/>
      <c r="G38" s="152" t="s">
        <v>23</v>
      </c>
      <c r="H38" s="153"/>
      <c r="I38" s="154"/>
      <c r="J38" s="154"/>
      <c r="K38" s="155"/>
      <c r="L38" s="155" t="n">
        <f aca="false">M38+N38</f>
        <v>0</v>
      </c>
      <c r="M38" s="155"/>
      <c r="N38" s="156"/>
      <c r="O38" s="157"/>
      <c r="P38" s="155"/>
      <c r="Q38" s="155" t="n">
        <f aca="false">R38+S38</f>
        <v>0</v>
      </c>
      <c r="R38" s="155"/>
      <c r="S38" s="167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.75" hidden="false" customHeight="true" outlineLevel="0" collapsed="false">
      <c r="A39" s="54"/>
      <c r="B39" s="55" t="s">
        <v>43</v>
      </c>
      <c r="C39" s="56" t="s">
        <v>33</v>
      </c>
      <c r="D39" s="56" t="s">
        <v>44</v>
      </c>
      <c r="E39" s="56" t="s">
        <v>45</v>
      </c>
      <c r="F39" s="36"/>
      <c r="G39" s="146" t="s">
        <v>22</v>
      </c>
      <c r="H39" s="159" t="n">
        <v>15</v>
      </c>
      <c r="I39" s="160" t="n">
        <v>12</v>
      </c>
      <c r="J39" s="160" t="n">
        <v>15</v>
      </c>
      <c r="K39" s="161" t="n">
        <v>30209.47</v>
      </c>
      <c r="L39" s="161" t="n">
        <f aca="false">M39+N39</f>
        <v>9138.09</v>
      </c>
      <c r="M39" s="161" t="n">
        <v>9138.09</v>
      </c>
      <c r="N39" s="190"/>
      <c r="O39" s="151" t="n">
        <v>10</v>
      </c>
      <c r="P39" s="149" t="n">
        <v>39637.95</v>
      </c>
      <c r="Q39" s="149" t="n">
        <f aca="false">R39+S39</f>
        <v>39637.95</v>
      </c>
      <c r="R39" s="149" t="n">
        <v>39637.95</v>
      </c>
      <c r="S39" s="198"/>
      <c r="T39" s="2"/>
      <c r="U39" s="70"/>
      <c r="V39" s="70"/>
      <c r="W39" s="70"/>
      <c r="X39" s="70"/>
      <c r="Y39" s="70"/>
      <c r="Z39" s="70"/>
      <c r="AA39" s="70"/>
      <c r="AB39" s="70"/>
      <c r="AC39" s="70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26" t="s">
        <v>165</v>
      </c>
      <c r="G40" s="152" t="s">
        <v>26</v>
      </c>
      <c r="H40" s="153" t="n">
        <v>3</v>
      </c>
      <c r="I40" s="154" t="n">
        <v>2</v>
      </c>
      <c r="J40" s="154" t="n">
        <v>2</v>
      </c>
      <c r="K40" s="155" t="n">
        <v>4933.6</v>
      </c>
      <c r="L40" s="155" t="n">
        <f aca="false">M40+N40</f>
        <v>4933.6</v>
      </c>
      <c r="M40" s="155"/>
      <c r="N40" s="156" t="n">
        <f aca="false">4933.6</f>
        <v>4933.6</v>
      </c>
      <c r="O40" s="157" t="n">
        <v>5</v>
      </c>
      <c r="P40" s="155" t="n">
        <v>13567.4</v>
      </c>
      <c r="Q40" s="155" t="n">
        <f aca="false">R40+S40</f>
        <v>14800.8</v>
      </c>
      <c r="R40" s="155" t="n">
        <f aca="false">53.85+11399.15</f>
        <v>11453</v>
      </c>
      <c r="S40" s="156" t="n">
        <f aca="false">3347.8</f>
        <v>3347.8</v>
      </c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" hidden="false" customHeight="true" outlineLevel="0" collapsed="false">
      <c r="A41" s="33"/>
      <c r="B41" s="34" t="s">
        <v>46</v>
      </c>
      <c r="C41" s="35" t="s">
        <v>20</v>
      </c>
      <c r="D41" s="35"/>
      <c r="E41" s="35" t="s">
        <v>25</v>
      </c>
      <c r="F41" s="36"/>
      <c r="G41" s="146" t="s">
        <v>22</v>
      </c>
      <c r="H41" s="159" t="n">
        <v>12</v>
      </c>
      <c r="I41" s="160" t="n">
        <v>11</v>
      </c>
      <c r="J41" s="160" t="n">
        <v>14</v>
      </c>
      <c r="K41" s="161" t="n">
        <v>33480.29</v>
      </c>
      <c r="L41" s="161" t="n">
        <f aca="false">M41+N41</f>
        <v>27872.38</v>
      </c>
      <c r="M41" s="161" t="n">
        <v>19151.8</v>
      </c>
      <c r="N41" s="190" t="n">
        <v>8720.58</v>
      </c>
      <c r="O41" s="151" t="n">
        <v>16</v>
      </c>
      <c r="P41" s="149" t="n">
        <v>56737.45</v>
      </c>
      <c r="Q41" s="149" t="n">
        <f aca="false">R41+S41</f>
        <v>55419.47</v>
      </c>
      <c r="R41" s="149" t="n">
        <v>54101.49</v>
      </c>
      <c r="S41" s="198" t="n">
        <v>1317.98</v>
      </c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164" t="s">
        <v>26</v>
      </c>
      <c r="H42" s="153"/>
      <c r="I42" s="165"/>
      <c r="J42" s="165"/>
      <c r="K42" s="166"/>
      <c r="L42" s="166" t="n">
        <f aca="false">M42+N42</f>
        <v>0</v>
      </c>
      <c r="M42" s="166"/>
      <c r="N42" s="156"/>
      <c r="O42" s="157"/>
      <c r="P42" s="155"/>
      <c r="Q42" s="155" t="n">
        <f aca="false">R42+S42</f>
        <v>0</v>
      </c>
      <c r="R42" s="155"/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.75" hidden="false" customHeight="true" outlineLevel="0" collapsed="false">
      <c r="A43" s="72"/>
      <c r="B43" s="73" t="s">
        <v>47</v>
      </c>
      <c r="C43" s="74" t="s">
        <v>20</v>
      </c>
      <c r="D43" s="74" t="s">
        <v>166</v>
      </c>
      <c r="E43" s="75" t="s">
        <v>25</v>
      </c>
      <c r="F43" s="22"/>
      <c r="G43" s="146" t="s">
        <v>22</v>
      </c>
      <c r="H43" s="159" t="n">
        <v>7</v>
      </c>
      <c r="I43" s="148" t="n">
        <v>5</v>
      </c>
      <c r="J43" s="148" t="n">
        <v>5</v>
      </c>
      <c r="K43" s="149" t="n">
        <v>2119.69</v>
      </c>
      <c r="L43" s="149" t="n">
        <f aca="false">M43+N43</f>
        <v>2119.69</v>
      </c>
      <c r="M43" s="149" t="n">
        <v>2119.69</v>
      </c>
      <c r="N43" s="190"/>
      <c r="O43" s="151"/>
      <c r="P43" s="149"/>
      <c r="Q43" s="149" t="n">
        <f aca="false">R43+S43</f>
        <v>0</v>
      </c>
      <c r="R43" s="149"/>
      <c r="S43" s="19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72"/>
      <c r="B44" s="73"/>
      <c r="C44" s="73"/>
      <c r="D44" s="73"/>
      <c r="E44" s="75"/>
      <c r="F44" s="42" t="s">
        <v>167</v>
      </c>
      <c r="G44" s="164" t="s">
        <v>26</v>
      </c>
      <c r="H44" s="172" t="n">
        <v>5</v>
      </c>
      <c r="I44" s="165" t="n">
        <v>1</v>
      </c>
      <c r="J44" s="165" t="n">
        <v>1</v>
      </c>
      <c r="K44" s="166" t="n">
        <v>1057.2</v>
      </c>
      <c r="L44" s="166" t="n">
        <f aca="false">M44+N44</f>
        <v>0</v>
      </c>
      <c r="M44" s="166"/>
      <c r="N44" s="156"/>
      <c r="O44" s="168" t="n">
        <v>3</v>
      </c>
      <c r="P44" s="166" t="n">
        <v>13945.3</v>
      </c>
      <c r="Q44" s="166" t="n">
        <f aca="false">R44+S44</f>
        <v>10849.9</v>
      </c>
      <c r="R44" s="166" t="n">
        <f aca="false">10849.9</f>
        <v>10849.9</v>
      </c>
      <c r="S44" s="167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17"/>
      <c r="B45" s="18" t="s">
        <v>48</v>
      </c>
      <c r="C45" s="19" t="s">
        <v>20</v>
      </c>
      <c r="D45" s="19" t="s">
        <v>168</v>
      </c>
      <c r="E45" s="19" t="s">
        <v>25</v>
      </c>
      <c r="F45" s="20"/>
      <c r="G45" s="146" t="s">
        <v>22</v>
      </c>
      <c r="H45" s="147" t="n">
        <v>2</v>
      </c>
      <c r="I45" s="148" t="n">
        <v>1</v>
      </c>
      <c r="J45" s="148" t="n">
        <v>1</v>
      </c>
      <c r="K45" s="149" t="n">
        <v>352.4</v>
      </c>
      <c r="L45" s="149" t="n">
        <f aca="false">M45+N45</f>
        <v>0</v>
      </c>
      <c r="M45" s="149"/>
      <c r="N45" s="190"/>
      <c r="O45" s="151" t="n">
        <v>4</v>
      </c>
      <c r="P45" s="149" t="n">
        <v>12699.01</v>
      </c>
      <c r="Q45" s="149" t="n">
        <f aca="false">R45+S45</f>
        <v>12699.01</v>
      </c>
      <c r="R45" s="149" t="n">
        <v>12699.01</v>
      </c>
      <c r="S45" s="198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17"/>
      <c r="B46" s="18"/>
      <c r="C46" s="18"/>
      <c r="D46" s="18"/>
      <c r="E46" s="18"/>
      <c r="F46" s="26" t="s">
        <v>169</v>
      </c>
      <c r="G46" s="152" t="s">
        <v>26</v>
      </c>
      <c r="H46" s="176" t="n">
        <v>4</v>
      </c>
      <c r="I46" s="154" t="n">
        <v>3</v>
      </c>
      <c r="J46" s="154" t="n">
        <v>3</v>
      </c>
      <c r="K46" s="155" t="n">
        <v>9056.68</v>
      </c>
      <c r="L46" s="155" t="n">
        <f aca="false">M46+N46</f>
        <v>1233.4</v>
      </c>
      <c r="M46" s="155" t="n">
        <v>0</v>
      </c>
      <c r="N46" s="156" t="n">
        <v>1233.4</v>
      </c>
      <c r="O46" s="157" t="n">
        <v>4</v>
      </c>
      <c r="P46" s="155" t="n">
        <v>11981.6</v>
      </c>
      <c r="Q46" s="155" t="n">
        <f aca="false">R46+S46</f>
        <v>13567.4</v>
      </c>
      <c r="R46" s="155" t="n">
        <f aca="false">528.6+11453</f>
        <v>11981.6</v>
      </c>
      <c r="S46" s="156" t="n">
        <v>1585.8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54"/>
      <c r="B47" s="55" t="s">
        <v>49</v>
      </c>
      <c r="C47" s="56" t="s">
        <v>20</v>
      </c>
      <c r="D47" s="78"/>
      <c r="E47" s="56" t="s">
        <v>50</v>
      </c>
      <c r="F47" s="36"/>
      <c r="G47" s="146" t="s">
        <v>22</v>
      </c>
      <c r="H47" s="169"/>
      <c r="I47" s="160"/>
      <c r="J47" s="160"/>
      <c r="K47" s="161"/>
      <c r="L47" s="161" t="n">
        <f aca="false">M47+N47</f>
        <v>0</v>
      </c>
      <c r="M47" s="161"/>
      <c r="N47" s="190"/>
      <c r="O47" s="163"/>
      <c r="P47" s="161"/>
      <c r="Q47" s="161" t="n">
        <f aca="false">R47+S47</f>
        <v>0</v>
      </c>
      <c r="R47" s="161"/>
      <c r="S47" s="190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54"/>
      <c r="B48" s="55"/>
      <c r="C48" s="55"/>
      <c r="D48" s="55"/>
      <c r="E48" s="55"/>
      <c r="F48" s="57"/>
      <c r="G48" s="152" t="s">
        <v>26</v>
      </c>
      <c r="H48" s="153"/>
      <c r="I48" s="154"/>
      <c r="J48" s="154"/>
      <c r="K48" s="155"/>
      <c r="L48" s="155" t="n">
        <f aca="false">M48+N48</f>
        <v>0</v>
      </c>
      <c r="M48" s="155"/>
      <c r="N48" s="156"/>
      <c r="O48" s="157"/>
      <c r="P48" s="155"/>
      <c r="Q48" s="155" t="n">
        <f aca="false">R48+S48</f>
        <v>0</v>
      </c>
      <c r="R48" s="155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33"/>
      <c r="B49" s="34" t="s">
        <v>51</v>
      </c>
      <c r="C49" s="35" t="s">
        <v>20</v>
      </c>
      <c r="D49" s="35"/>
      <c r="E49" s="35" t="s">
        <v>52</v>
      </c>
      <c r="F49" s="36"/>
      <c r="G49" s="146" t="s">
        <v>22</v>
      </c>
      <c r="H49" s="169" t="n">
        <v>6</v>
      </c>
      <c r="I49" s="160" t="n">
        <v>4</v>
      </c>
      <c r="J49" s="160" t="n">
        <v>5</v>
      </c>
      <c r="K49" s="161" t="n">
        <v>6674.45</v>
      </c>
      <c r="L49" s="161" t="n">
        <f aca="false">M49+N49</f>
        <v>5976.7</v>
      </c>
      <c r="M49" s="161"/>
      <c r="N49" s="190" t="n">
        <v>5976.7</v>
      </c>
      <c r="O49" s="151" t="n">
        <v>3</v>
      </c>
      <c r="P49" s="149" t="n">
        <v>9820.51</v>
      </c>
      <c r="Q49" s="149" t="n">
        <f aca="false">R49+S49</f>
        <v>9820.51</v>
      </c>
      <c r="R49" s="149" t="n">
        <v>5039.32</v>
      </c>
      <c r="S49" s="198" t="n">
        <v>4781.19</v>
      </c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33"/>
      <c r="B50" s="34"/>
      <c r="C50" s="34"/>
      <c r="D50" s="34"/>
      <c r="E50" s="34"/>
      <c r="F50" s="71"/>
      <c r="G50" s="164" t="s">
        <v>26</v>
      </c>
      <c r="H50" s="175"/>
      <c r="I50" s="165"/>
      <c r="J50" s="165"/>
      <c r="K50" s="166"/>
      <c r="L50" s="166" t="n">
        <f aca="false">M50+N50</f>
        <v>0</v>
      </c>
      <c r="M50" s="166"/>
      <c r="N50" s="156"/>
      <c r="O50" s="157"/>
      <c r="P50" s="155"/>
      <c r="Q50" s="155" t="n">
        <f aca="false">R50+S50</f>
        <v>0</v>
      </c>
      <c r="R50" s="155"/>
      <c r="S50" s="156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17"/>
      <c r="B51" s="18" t="s">
        <v>154</v>
      </c>
      <c r="C51" s="19"/>
      <c r="D51" s="19" t="s">
        <v>170</v>
      </c>
      <c r="E51" s="19"/>
      <c r="F51" s="20"/>
      <c r="G51" s="146" t="s">
        <v>22</v>
      </c>
      <c r="H51" s="173" t="n">
        <v>48</v>
      </c>
      <c r="I51" s="148" t="n">
        <v>45</v>
      </c>
      <c r="J51" s="148" t="n">
        <v>45</v>
      </c>
      <c r="K51" s="149" t="n">
        <v>42999.32</v>
      </c>
      <c r="L51" s="149" t="n">
        <f aca="false">M51+N51</f>
        <v>39470.47</v>
      </c>
      <c r="M51" s="149" t="n">
        <v>34720.47</v>
      </c>
      <c r="N51" s="190" t="n">
        <v>4750</v>
      </c>
      <c r="O51" s="151"/>
      <c r="P51" s="149"/>
      <c r="Q51" s="149" t="n">
        <f aca="false">R51+S51</f>
        <v>0</v>
      </c>
      <c r="R51" s="149"/>
      <c r="S51" s="19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26" t="s">
        <v>171</v>
      </c>
      <c r="G52" s="152" t="s">
        <v>26</v>
      </c>
      <c r="H52" s="174" t="n">
        <v>4</v>
      </c>
      <c r="I52" s="154" t="n">
        <v>1</v>
      </c>
      <c r="J52" s="154" t="n">
        <v>1</v>
      </c>
      <c r="K52" s="155" t="n">
        <v>1409.6</v>
      </c>
      <c r="L52" s="155" t="n">
        <f aca="false">M52+N52</f>
        <v>1409.6</v>
      </c>
      <c r="M52" s="155" t="n">
        <f aca="false">1409.6</f>
        <v>1409.6</v>
      </c>
      <c r="N52" s="156"/>
      <c r="O52" s="157"/>
      <c r="P52" s="155"/>
      <c r="Q52" s="155" t="n">
        <f aca="false">R52+S52</f>
        <v>0</v>
      </c>
      <c r="R52" s="155"/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54"/>
      <c r="B53" s="55" t="s">
        <v>53</v>
      </c>
      <c r="C53" s="56" t="s">
        <v>33</v>
      </c>
      <c r="D53" s="56" t="s">
        <v>54</v>
      </c>
      <c r="E53" s="56" t="s">
        <v>42</v>
      </c>
      <c r="F53" s="36"/>
      <c r="G53" s="158" t="s">
        <v>22</v>
      </c>
      <c r="H53" s="159" t="n">
        <v>22</v>
      </c>
      <c r="I53" s="160" t="n">
        <v>13</v>
      </c>
      <c r="J53" s="160" t="n">
        <v>17</v>
      </c>
      <c r="K53" s="161" t="n">
        <v>30660.61</v>
      </c>
      <c r="L53" s="161" t="n">
        <f aca="false">M53+N53</f>
        <v>22712.05</v>
      </c>
      <c r="M53" s="161" t="n">
        <v>11601.93</v>
      </c>
      <c r="N53" s="190" t="n">
        <v>11110.12</v>
      </c>
      <c r="O53" s="151" t="n">
        <v>21</v>
      </c>
      <c r="P53" s="149" t="n">
        <v>76522.71</v>
      </c>
      <c r="Q53" s="149" t="n">
        <f aca="false">R53+S53</f>
        <v>54609.33</v>
      </c>
      <c r="R53" s="149" t="n">
        <v>47845.54</v>
      </c>
      <c r="S53" s="198" t="n">
        <v>6763.79</v>
      </c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.75" hidden="false" customHeight="true" outlineLevel="0" collapsed="false">
      <c r="A54" s="54"/>
      <c r="B54" s="55"/>
      <c r="C54" s="55"/>
      <c r="D54" s="55"/>
      <c r="E54" s="55"/>
      <c r="F54" s="57"/>
      <c r="G54" s="152" t="s">
        <v>23</v>
      </c>
      <c r="H54" s="153"/>
      <c r="I54" s="154"/>
      <c r="J54" s="154"/>
      <c r="K54" s="155"/>
      <c r="L54" s="155" t="n">
        <f aca="false">M54+N54</f>
        <v>0</v>
      </c>
      <c r="M54" s="155"/>
      <c r="N54" s="156"/>
      <c r="O54" s="157"/>
      <c r="P54" s="155"/>
      <c r="Q54" s="155" t="n">
        <f aca="false">R54+S54</f>
        <v>0</v>
      </c>
      <c r="R54" s="155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33"/>
      <c r="B55" s="34" t="s">
        <v>55</v>
      </c>
      <c r="C55" s="35" t="s">
        <v>20</v>
      </c>
      <c r="D55" s="35"/>
      <c r="E55" s="35" t="s">
        <v>25</v>
      </c>
      <c r="F55" s="38"/>
      <c r="G55" s="146" t="s">
        <v>22</v>
      </c>
      <c r="H55" s="169" t="n">
        <v>3</v>
      </c>
      <c r="I55" s="160" t="n">
        <v>2</v>
      </c>
      <c r="J55" s="160" t="n">
        <v>2</v>
      </c>
      <c r="K55" s="161" t="n">
        <v>2563.71</v>
      </c>
      <c r="L55" s="161" t="n">
        <f aca="false">M55+N55</f>
        <v>0</v>
      </c>
      <c r="M55" s="161"/>
      <c r="N55" s="190"/>
      <c r="O55" s="163" t="n">
        <v>3</v>
      </c>
      <c r="P55" s="161" t="n">
        <v>18745.92</v>
      </c>
      <c r="Q55" s="161" t="n">
        <f aca="false">R55+S55</f>
        <v>18745.92</v>
      </c>
      <c r="R55" s="161" t="n">
        <v>18745.92</v>
      </c>
      <c r="S55" s="190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33"/>
      <c r="B56" s="34"/>
      <c r="C56" s="34"/>
      <c r="D56" s="34"/>
      <c r="E56" s="34"/>
      <c r="F56" s="42" t="s">
        <v>172</v>
      </c>
      <c r="G56" s="164" t="s">
        <v>26</v>
      </c>
      <c r="H56" s="171" t="n">
        <v>3</v>
      </c>
      <c r="I56" s="165" t="n">
        <v>1</v>
      </c>
      <c r="J56" s="165" t="n">
        <v>1</v>
      </c>
      <c r="K56" s="166" t="n">
        <v>1057.2</v>
      </c>
      <c r="L56" s="161" t="n">
        <f aca="false">M56+N56</f>
        <v>1057.2</v>
      </c>
      <c r="M56" s="166" t="n">
        <v>0</v>
      </c>
      <c r="N56" s="156" t="n">
        <v>1057.2</v>
      </c>
      <c r="O56" s="168" t="n">
        <v>8</v>
      </c>
      <c r="P56" s="166" t="n">
        <v>14217.29</v>
      </c>
      <c r="Q56" s="161" t="n">
        <f aca="false">R56+S56</f>
        <v>18120.69</v>
      </c>
      <c r="R56" s="166" t="n">
        <f aca="false">1409.6+3672.29+13038.8</f>
        <v>18120.69</v>
      </c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.75" hidden="false" customHeight="true" outlineLevel="0" collapsed="false">
      <c r="A57" s="17"/>
      <c r="B57" s="18" t="s">
        <v>56</v>
      </c>
      <c r="C57" s="19" t="s">
        <v>33</v>
      </c>
      <c r="D57" s="19" t="s">
        <v>57</v>
      </c>
      <c r="E57" s="19" t="s">
        <v>25</v>
      </c>
      <c r="F57" s="20"/>
      <c r="G57" s="146" t="s">
        <v>22</v>
      </c>
      <c r="H57" s="159" t="n">
        <v>7</v>
      </c>
      <c r="I57" s="148"/>
      <c r="J57" s="148"/>
      <c r="K57" s="149"/>
      <c r="L57" s="149" t="n">
        <f aca="false">M57+N57</f>
        <v>0</v>
      </c>
      <c r="M57" s="149"/>
      <c r="N57" s="190"/>
      <c r="O57" s="151" t="n">
        <v>11</v>
      </c>
      <c r="P57" s="149" t="n">
        <v>43131.21</v>
      </c>
      <c r="Q57" s="149" t="n">
        <f aca="false">R57+S57</f>
        <v>43131.21</v>
      </c>
      <c r="R57" s="149" t="n">
        <v>43131.21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42"/>
      <c r="G58" s="164" t="s">
        <v>26</v>
      </c>
      <c r="H58" s="175" t="n">
        <v>3</v>
      </c>
      <c r="I58" s="165"/>
      <c r="J58" s="165"/>
      <c r="K58" s="166"/>
      <c r="L58" s="166" t="n">
        <f aca="false">M58+N58</f>
        <v>0</v>
      </c>
      <c r="M58" s="166"/>
      <c r="N58" s="156"/>
      <c r="O58" s="168" t="n">
        <v>5</v>
      </c>
      <c r="P58" s="166"/>
      <c r="Q58" s="166" t="n">
        <f aca="false">R58+S58</f>
        <v>4249</v>
      </c>
      <c r="R58" s="166"/>
      <c r="S58" s="156" t="n">
        <f aca="false">4249</f>
        <v>4249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17"/>
      <c r="B59" s="18" t="s">
        <v>266</v>
      </c>
      <c r="C59" s="19" t="s">
        <v>20</v>
      </c>
      <c r="D59" s="19"/>
      <c r="E59" s="19" t="s">
        <v>267</v>
      </c>
      <c r="F59" s="20"/>
      <c r="G59" s="146" t="s">
        <v>22</v>
      </c>
      <c r="H59" s="173" t="n">
        <v>2</v>
      </c>
      <c r="I59" s="148" t="n">
        <v>1</v>
      </c>
      <c r="J59" s="148" t="n">
        <v>1</v>
      </c>
      <c r="K59" s="149" t="n">
        <v>528.6</v>
      </c>
      <c r="L59" s="149" t="n">
        <f aca="false">M59+N59</f>
        <v>0</v>
      </c>
      <c r="M59" s="149"/>
      <c r="N59" s="190"/>
      <c r="O59" s="206"/>
      <c r="P59" s="149"/>
      <c r="Q59" s="149" t="n">
        <f aca="false">R59+S59</f>
        <v>0</v>
      </c>
      <c r="R59" s="149"/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" hidden="false" customHeight="false" outlineLevel="0" collapsed="false">
      <c r="A60" s="17"/>
      <c r="B60" s="18"/>
      <c r="C60" s="18"/>
      <c r="D60" s="18"/>
      <c r="E60" s="18"/>
      <c r="F60" s="26" t="s">
        <v>268</v>
      </c>
      <c r="G60" s="152" t="s">
        <v>26</v>
      </c>
      <c r="H60" s="174" t="n">
        <v>5</v>
      </c>
      <c r="I60" s="154" t="n">
        <v>3</v>
      </c>
      <c r="J60" s="154" t="n">
        <v>3</v>
      </c>
      <c r="K60" s="155" t="n">
        <v>5286</v>
      </c>
      <c r="L60" s="155" t="n">
        <f aca="false">M60+N60</f>
        <v>1233.4</v>
      </c>
      <c r="M60" s="155"/>
      <c r="N60" s="156" t="n">
        <f aca="false">1233.4</f>
        <v>1233.4</v>
      </c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54"/>
      <c r="B61" s="55" t="s">
        <v>155</v>
      </c>
      <c r="C61" s="56"/>
      <c r="D61" s="56"/>
      <c r="E61" s="56"/>
      <c r="F61" s="36"/>
      <c r="G61" s="158" t="s">
        <v>22</v>
      </c>
      <c r="H61" s="159" t="n">
        <v>13</v>
      </c>
      <c r="I61" s="160" t="n">
        <v>13</v>
      </c>
      <c r="J61" s="160" t="n">
        <v>14</v>
      </c>
      <c r="K61" s="161" t="n">
        <v>25376.32</v>
      </c>
      <c r="L61" s="161" t="n">
        <f aca="false">M61+N61</f>
        <v>13482.82</v>
      </c>
      <c r="M61" s="161" t="n">
        <v>13482.82</v>
      </c>
      <c r="N61" s="190"/>
      <c r="O61" s="163"/>
      <c r="P61" s="161"/>
      <c r="Q61" s="161" t="n">
        <f aca="false">R61+S61</f>
        <v>0</v>
      </c>
      <c r="R61" s="161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54"/>
      <c r="B62" s="55"/>
      <c r="C62" s="55"/>
      <c r="D62" s="55"/>
      <c r="E62" s="55"/>
      <c r="F62" s="71"/>
      <c r="G62" s="164" t="s">
        <v>26</v>
      </c>
      <c r="H62" s="177"/>
      <c r="I62" s="165"/>
      <c r="J62" s="165"/>
      <c r="K62" s="166"/>
      <c r="L62" s="166" t="n">
        <f aca="false">M62+N62</f>
        <v>0</v>
      </c>
      <c r="M62" s="166"/>
      <c r="N62" s="156"/>
      <c r="O62" s="168"/>
      <c r="P62" s="166"/>
      <c r="Q62" s="166" t="n">
        <f aca="false">R62+S62</f>
        <v>0</v>
      </c>
      <c r="R62" s="166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221</v>
      </c>
      <c r="C63" s="19" t="s">
        <v>20</v>
      </c>
      <c r="D63" s="19"/>
      <c r="E63" s="19" t="s">
        <v>278</v>
      </c>
      <c r="F63" s="20"/>
      <c r="G63" s="146" t="s">
        <v>22</v>
      </c>
      <c r="H63" s="173" t="n">
        <v>9</v>
      </c>
      <c r="I63" s="148" t="n">
        <v>2</v>
      </c>
      <c r="J63" s="148" t="n">
        <v>2</v>
      </c>
      <c r="K63" s="149" t="n">
        <v>5127.42</v>
      </c>
      <c r="L63" s="149" t="n">
        <f aca="false">M63+N63</f>
        <v>3717.82</v>
      </c>
      <c r="M63" s="149" t="n">
        <v>3717.82</v>
      </c>
      <c r="N63" s="190"/>
      <c r="O63" s="151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233</v>
      </c>
      <c r="G64" s="152" t="s">
        <v>23</v>
      </c>
      <c r="H64" s="174" t="n">
        <v>7</v>
      </c>
      <c r="I64" s="154" t="n">
        <v>5</v>
      </c>
      <c r="J64" s="154" t="n">
        <v>5</v>
      </c>
      <c r="K64" s="155" t="n">
        <v>4052.6</v>
      </c>
      <c r="L64" s="155" t="n">
        <f aca="false">M64+N64</f>
        <v>704.8</v>
      </c>
      <c r="M64" s="155" t="n">
        <v>704.8</v>
      </c>
      <c r="N64" s="156"/>
      <c r="O64" s="157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33"/>
      <c r="B65" s="34" t="s">
        <v>58</v>
      </c>
      <c r="C65" s="35" t="s">
        <v>20</v>
      </c>
      <c r="D65" s="35"/>
      <c r="E65" s="35" t="s">
        <v>52</v>
      </c>
      <c r="F65" s="36"/>
      <c r="G65" s="158" t="s">
        <v>22</v>
      </c>
      <c r="H65" s="159" t="n">
        <v>11</v>
      </c>
      <c r="I65" s="160" t="n">
        <v>6</v>
      </c>
      <c r="J65" s="160" t="n">
        <v>10</v>
      </c>
      <c r="K65" s="161" t="n">
        <v>16500.69</v>
      </c>
      <c r="L65" s="161" t="n">
        <f aca="false">M65+N65</f>
        <v>16500.69</v>
      </c>
      <c r="M65" s="161" t="n">
        <v>16500.69</v>
      </c>
      <c r="N65" s="190"/>
      <c r="O65" s="163" t="n">
        <v>10</v>
      </c>
      <c r="P65" s="161" t="n">
        <v>62059.28</v>
      </c>
      <c r="Q65" s="161" t="n">
        <f aca="false">R65+S65</f>
        <v>62059.28</v>
      </c>
      <c r="R65" s="161" t="n">
        <v>62059.28</v>
      </c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71"/>
      <c r="G66" s="164" t="s">
        <v>26</v>
      </c>
      <c r="H66" s="175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269</v>
      </c>
      <c r="C67" s="19"/>
      <c r="D67" s="49"/>
      <c r="E67" s="19"/>
      <c r="F67" s="22"/>
      <c r="G67" s="146" t="s">
        <v>22</v>
      </c>
      <c r="H67" s="147" t="n">
        <v>10</v>
      </c>
      <c r="I67" s="148" t="n">
        <v>5</v>
      </c>
      <c r="J67" s="148" t="n">
        <v>5</v>
      </c>
      <c r="K67" s="149" t="n">
        <v>14798.19</v>
      </c>
      <c r="L67" s="149" t="n">
        <f aca="false">M67+N67</f>
        <v>14798.19</v>
      </c>
      <c r="M67" s="149"/>
      <c r="N67" s="190" t="n">
        <v>14798.19</v>
      </c>
      <c r="O67" s="206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/>
      <c r="G68" s="152" t="s">
        <v>26</v>
      </c>
      <c r="H68" s="176"/>
      <c r="I68" s="154"/>
      <c r="J68" s="154"/>
      <c r="K68" s="155"/>
      <c r="L68" s="155" t="n">
        <f aca="false">M68+N68</f>
        <v>0</v>
      </c>
      <c r="M68" s="155"/>
      <c r="N68" s="156"/>
      <c r="O68" s="209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54"/>
      <c r="B69" s="55" t="s">
        <v>222</v>
      </c>
      <c r="C69" s="56" t="s">
        <v>20</v>
      </c>
      <c r="D69" s="78"/>
      <c r="E69" s="56" t="s">
        <v>279</v>
      </c>
      <c r="F69" s="38"/>
      <c r="G69" s="158" t="s">
        <v>22</v>
      </c>
      <c r="H69" s="169" t="n">
        <v>22</v>
      </c>
      <c r="I69" s="160" t="n">
        <v>7</v>
      </c>
      <c r="J69" s="160" t="n">
        <v>7</v>
      </c>
      <c r="K69" s="161" t="n">
        <v>23265.01</v>
      </c>
      <c r="L69" s="161" t="n">
        <f aca="false">M69+N69</f>
        <v>3383.04</v>
      </c>
      <c r="M69" s="161" t="n">
        <v>3383.04</v>
      </c>
      <c r="N69" s="190"/>
      <c r="O69" s="163"/>
      <c r="P69" s="161"/>
      <c r="Q69" s="161" t="n">
        <f aca="false">R69+S69</f>
        <v>0</v>
      </c>
      <c r="R69" s="161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54"/>
      <c r="B70" s="55"/>
      <c r="C70" s="55"/>
      <c r="D70" s="55"/>
      <c r="E70" s="55"/>
      <c r="F70" s="42" t="s">
        <v>234</v>
      </c>
      <c r="G70" s="164" t="s">
        <v>23</v>
      </c>
      <c r="H70" s="178" t="n">
        <v>3</v>
      </c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249</v>
      </c>
      <c r="C71" s="19"/>
      <c r="D71" s="49"/>
      <c r="E71" s="19"/>
      <c r="F71" s="22"/>
      <c r="G71" s="146" t="s">
        <v>22</v>
      </c>
      <c r="H71" s="147"/>
      <c r="I71" s="148"/>
      <c r="J71" s="148"/>
      <c r="K71" s="149"/>
      <c r="L71" s="149" t="n">
        <f aca="false">M71+N71</f>
        <v>0</v>
      </c>
      <c r="M71" s="149"/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50" t="s">
        <v>250</v>
      </c>
      <c r="G72" s="152" t="s">
        <v>26</v>
      </c>
      <c r="H72" s="176" t="n">
        <v>4</v>
      </c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33"/>
      <c r="B73" s="34" t="s">
        <v>59</v>
      </c>
      <c r="C73" s="35" t="s">
        <v>20</v>
      </c>
      <c r="D73" s="95"/>
      <c r="E73" s="35" t="s">
        <v>25</v>
      </c>
      <c r="F73" s="38"/>
      <c r="G73" s="158" t="s">
        <v>22</v>
      </c>
      <c r="H73" s="169"/>
      <c r="I73" s="160"/>
      <c r="J73" s="160"/>
      <c r="K73" s="161"/>
      <c r="L73" s="161" t="n">
        <f aca="false">M73+N73</f>
        <v>0</v>
      </c>
      <c r="M73" s="161"/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.75" hidden="false" customHeight="true" outlineLevel="0" collapsed="false">
      <c r="A74" s="33"/>
      <c r="B74" s="34"/>
      <c r="C74" s="34"/>
      <c r="D74" s="34"/>
      <c r="E74" s="34"/>
      <c r="F74" s="71"/>
      <c r="G74" s="164" t="s">
        <v>26</v>
      </c>
      <c r="H74" s="153"/>
      <c r="I74" s="165"/>
      <c r="J74" s="165"/>
      <c r="K74" s="166"/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60</v>
      </c>
      <c r="C75" s="19" t="s">
        <v>20</v>
      </c>
      <c r="D75" s="19"/>
      <c r="E75" s="19" t="s">
        <v>21</v>
      </c>
      <c r="F75" s="22"/>
      <c r="G75" s="146" t="s">
        <v>22</v>
      </c>
      <c r="H75" s="169" t="n">
        <v>4</v>
      </c>
      <c r="I75" s="148" t="n">
        <v>1</v>
      </c>
      <c r="J75" s="148" t="n">
        <v>1</v>
      </c>
      <c r="K75" s="149" t="n">
        <v>1046.63</v>
      </c>
      <c r="L75" s="149" t="n">
        <f aca="false">M75+N75</f>
        <v>1046.63</v>
      </c>
      <c r="M75" s="149"/>
      <c r="N75" s="190" t="n">
        <v>1046.63</v>
      </c>
      <c r="O75" s="151" t="n">
        <v>2</v>
      </c>
      <c r="P75" s="149" t="n">
        <v>3855.96</v>
      </c>
      <c r="Q75" s="149" t="n">
        <f aca="false">R75+S75</f>
        <v>3855.96</v>
      </c>
      <c r="R75" s="149" t="n">
        <v>881</v>
      </c>
      <c r="S75" s="190" t="n">
        <v>2974.96</v>
      </c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71"/>
      <c r="G76" s="164" t="s">
        <v>23</v>
      </c>
      <c r="H76" s="175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17"/>
      <c r="B77" s="18" t="s">
        <v>223</v>
      </c>
      <c r="C77" s="19" t="s">
        <v>33</v>
      </c>
      <c r="D77" s="19" t="s">
        <v>280</v>
      </c>
      <c r="E77" s="19" t="s">
        <v>259</v>
      </c>
      <c r="F77" s="20"/>
      <c r="G77" s="146" t="s">
        <v>22</v>
      </c>
      <c r="H77" s="173" t="n">
        <v>11</v>
      </c>
      <c r="I77" s="148" t="n">
        <v>4</v>
      </c>
      <c r="J77" s="148" t="n">
        <v>4</v>
      </c>
      <c r="K77" s="149" t="n">
        <v>24532.79</v>
      </c>
      <c r="L77" s="149" t="n">
        <f aca="false">M77+N77</f>
        <v>5039.32</v>
      </c>
      <c r="M77" s="149" t="n">
        <v>5039.32</v>
      </c>
      <c r="N77" s="190"/>
      <c r="O77" s="151"/>
      <c r="P77" s="149"/>
      <c r="Q77" s="149" t="n">
        <f aca="false">R77+S77</f>
        <v>0</v>
      </c>
      <c r="R77" s="149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26" t="s">
        <v>235</v>
      </c>
      <c r="G78" s="152" t="s">
        <v>23</v>
      </c>
      <c r="H78" s="174" t="n">
        <v>23</v>
      </c>
      <c r="I78" s="154" t="n">
        <v>13</v>
      </c>
      <c r="J78" s="154" t="n">
        <v>13</v>
      </c>
      <c r="K78" s="155" t="n">
        <v>15828.92</v>
      </c>
      <c r="L78" s="155" t="n">
        <v>7075.6</v>
      </c>
      <c r="M78" s="155" t="n">
        <v>7075.6</v>
      </c>
      <c r="N78" s="156" t="n">
        <v>3981.6</v>
      </c>
      <c r="O78" s="157"/>
      <c r="P78" s="155"/>
      <c r="Q78" s="155" t="n">
        <f aca="false">R78+S78</f>
        <v>0</v>
      </c>
      <c r="R78" s="155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33"/>
      <c r="B79" s="34" t="s">
        <v>61</v>
      </c>
      <c r="C79" s="35" t="s">
        <v>33</v>
      </c>
      <c r="D79" s="56" t="s">
        <v>62</v>
      </c>
      <c r="E79" s="35" t="s">
        <v>25</v>
      </c>
      <c r="F79" s="36"/>
      <c r="G79" s="158" t="s">
        <v>22</v>
      </c>
      <c r="H79" s="159" t="n">
        <v>4</v>
      </c>
      <c r="I79" s="160" t="n">
        <v>3</v>
      </c>
      <c r="J79" s="160" t="n">
        <v>3</v>
      </c>
      <c r="K79" s="161" t="n">
        <v>4510.72</v>
      </c>
      <c r="L79" s="161" t="n">
        <f aca="false">M79+N79</f>
        <v>4510.72</v>
      </c>
      <c r="M79" s="161" t="n">
        <v>4510.72</v>
      </c>
      <c r="N79" s="190"/>
      <c r="O79" s="163" t="n">
        <v>1</v>
      </c>
      <c r="P79" s="161" t="n">
        <v>5123.54</v>
      </c>
      <c r="Q79" s="161" t="n">
        <f aca="false">R79+S79</f>
        <v>5123.54</v>
      </c>
      <c r="R79" s="161" t="n">
        <v>5123.54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33"/>
      <c r="B80" s="34"/>
      <c r="C80" s="34"/>
      <c r="D80" s="56"/>
      <c r="E80" s="35"/>
      <c r="F80" s="42" t="s">
        <v>173</v>
      </c>
      <c r="G80" s="164" t="s">
        <v>26</v>
      </c>
      <c r="H80" s="153" t="n">
        <v>4</v>
      </c>
      <c r="I80" s="165" t="n">
        <v>3</v>
      </c>
      <c r="J80" s="165" t="n">
        <v>3</v>
      </c>
      <c r="K80" s="166" t="n">
        <v>2643</v>
      </c>
      <c r="L80" s="166" t="n">
        <f aca="false">M80+N80</f>
        <v>2643</v>
      </c>
      <c r="M80" s="166" t="n">
        <f aca="false">704.8</f>
        <v>704.8</v>
      </c>
      <c r="N80" s="156" t="n">
        <v>1938.2</v>
      </c>
      <c r="O80" s="168" t="n">
        <v>2</v>
      </c>
      <c r="P80" s="166" t="n">
        <v>3171.6</v>
      </c>
      <c r="Q80" s="166" t="n">
        <f aca="false">R80+S80</f>
        <v>2907.3</v>
      </c>
      <c r="R80" s="166" t="n">
        <f aca="false">2907.3</f>
        <v>2907.3</v>
      </c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72"/>
      <c r="B81" s="73" t="s">
        <v>63</v>
      </c>
      <c r="C81" s="74" t="s">
        <v>20</v>
      </c>
      <c r="D81" s="74"/>
      <c r="E81" s="74" t="s">
        <v>25</v>
      </c>
      <c r="F81" s="20"/>
      <c r="G81" s="146" t="s">
        <v>22</v>
      </c>
      <c r="H81" s="169" t="n">
        <v>6</v>
      </c>
      <c r="I81" s="148" t="n">
        <v>3</v>
      </c>
      <c r="J81" s="148" t="n">
        <v>4</v>
      </c>
      <c r="K81" s="149" t="n">
        <v>5720.34</v>
      </c>
      <c r="L81" s="149" t="n">
        <f aca="false">M81+N81</f>
        <v>1162.92</v>
      </c>
      <c r="M81" s="149" t="n">
        <v>1162.92</v>
      </c>
      <c r="N81" s="190"/>
      <c r="O81" s="151" t="n">
        <v>9</v>
      </c>
      <c r="P81" s="149" t="n">
        <v>28668.15</v>
      </c>
      <c r="Q81" s="149" t="n">
        <f aca="false">R81+S81</f>
        <v>28069.07</v>
      </c>
      <c r="R81" s="149" t="n">
        <v>28069.07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72"/>
      <c r="B82" s="73"/>
      <c r="C82" s="73"/>
      <c r="D82" s="73"/>
      <c r="E82" s="73"/>
      <c r="F82" s="42" t="s">
        <v>174</v>
      </c>
      <c r="G82" s="164" t="s">
        <v>26</v>
      </c>
      <c r="H82" s="153" t="n">
        <v>3</v>
      </c>
      <c r="I82" s="165"/>
      <c r="J82" s="165"/>
      <c r="K82" s="166"/>
      <c r="L82" s="166" t="n">
        <f aca="false">M82+N82</f>
        <v>0</v>
      </c>
      <c r="M82" s="166"/>
      <c r="N82" s="156"/>
      <c r="O82" s="168"/>
      <c r="P82" s="166"/>
      <c r="Q82" s="166" t="n">
        <f aca="false">R82+S82</f>
        <v>0</v>
      </c>
      <c r="R82" s="166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" hidden="false" customHeight="true" outlineLevel="0" collapsed="false">
      <c r="A83" s="72"/>
      <c r="B83" s="73" t="s">
        <v>64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1</v>
      </c>
      <c r="I83" s="148"/>
      <c r="J83" s="148"/>
      <c r="K83" s="149"/>
      <c r="L83" s="149" t="n">
        <f aca="false">M83+N83</f>
        <v>0</v>
      </c>
      <c r="M83" s="149"/>
      <c r="N83" s="190"/>
      <c r="O83" s="151"/>
      <c r="P83" s="149"/>
      <c r="Q83" s="149" t="n">
        <f aca="false">R83+S83</f>
        <v>0</v>
      </c>
      <c r="R83" s="149"/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71"/>
      <c r="G84" s="164" t="s">
        <v>26</v>
      </c>
      <c r="H84" s="153"/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17"/>
      <c r="B85" s="18" t="s">
        <v>65</v>
      </c>
      <c r="C85" s="19" t="s">
        <v>33</v>
      </c>
      <c r="D85" s="19" t="s">
        <v>66</v>
      </c>
      <c r="E85" s="19" t="s">
        <v>67</v>
      </c>
      <c r="F85" s="20"/>
      <c r="G85" s="146" t="s">
        <v>22</v>
      </c>
      <c r="H85" s="159" t="n">
        <v>8</v>
      </c>
      <c r="I85" s="148" t="n">
        <v>6</v>
      </c>
      <c r="J85" s="148" t="n">
        <v>7</v>
      </c>
      <c r="K85" s="149" t="n">
        <v>8722.99</v>
      </c>
      <c r="L85" s="149" t="n">
        <f aca="false">M85+N85</f>
        <v>5752.93</v>
      </c>
      <c r="M85" s="149" t="n">
        <v>3057.07</v>
      </c>
      <c r="N85" s="190" t="n">
        <v>2695.86</v>
      </c>
      <c r="O85" s="151" t="n">
        <v>10</v>
      </c>
      <c r="P85" s="149" t="n">
        <v>43656.97</v>
      </c>
      <c r="Q85" s="149" t="n">
        <f aca="false">R85+S85</f>
        <v>43656.97</v>
      </c>
      <c r="R85" s="149" t="n">
        <v>14207.76</v>
      </c>
      <c r="S85" s="190" t="n">
        <v>29449.21</v>
      </c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17"/>
      <c r="B86" s="18"/>
      <c r="C86" s="18"/>
      <c r="D86" s="18"/>
      <c r="E86" s="18"/>
      <c r="F86" s="42" t="s">
        <v>236</v>
      </c>
      <c r="G86" s="164" t="s">
        <v>23</v>
      </c>
      <c r="H86" s="172" t="n">
        <v>34</v>
      </c>
      <c r="I86" s="165" t="n">
        <v>26</v>
      </c>
      <c r="J86" s="165" t="n">
        <v>26</v>
      </c>
      <c r="K86" s="166" t="n">
        <v>29277.8</v>
      </c>
      <c r="L86" s="166" t="n">
        <v>3524</v>
      </c>
      <c r="M86" s="166" t="n">
        <v>3524</v>
      </c>
      <c r="N86" s="156" t="n">
        <v>5814.6</v>
      </c>
      <c r="O86" s="168" t="n">
        <v>34</v>
      </c>
      <c r="P86" s="166" t="n">
        <v>70390.42</v>
      </c>
      <c r="Q86" s="166" t="n">
        <v>30232.1</v>
      </c>
      <c r="R86" s="166" t="n">
        <v>30232.1</v>
      </c>
      <c r="S86" s="156" t="n">
        <v>9162.4</v>
      </c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175</v>
      </c>
      <c r="C87" s="19"/>
      <c r="D87" s="19"/>
      <c r="E87" s="19"/>
      <c r="F87" s="137"/>
      <c r="G87" s="146" t="s">
        <v>22</v>
      </c>
      <c r="H87" s="147" t="n">
        <v>6</v>
      </c>
      <c r="I87" s="148" t="n">
        <v>2</v>
      </c>
      <c r="J87" s="148" t="n">
        <v>3</v>
      </c>
      <c r="K87" s="149" t="n">
        <v>5340.62</v>
      </c>
      <c r="L87" s="149" t="n">
        <f aca="false">M87+N87</f>
        <v>2035.11</v>
      </c>
      <c r="M87" s="149" t="n">
        <v>2035.11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" hidden="false" customHeight="false" outlineLevel="0" collapsed="false">
      <c r="A88" s="17"/>
      <c r="B88" s="18"/>
      <c r="C88" s="18"/>
      <c r="D88" s="18"/>
      <c r="E88" s="18"/>
      <c r="F88" s="89"/>
      <c r="G88" s="164" t="s">
        <v>26</v>
      </c>
      <c r="H88" s="178" t="n">
        <v>8</v>
      </c>
      <c r="I88" s="165" t="n">
        <v>4</v>
      </c>
      <c r="J88" s="165" t="n">
        <v>4</v>
      </c>
      <c r="K88" s="166" t="n">
        <v>7576.6</v>
      </c>
      <c r="L88" s="166" t="n">
        <f aca="false">M88+N88</f>
        <v>6343.2</v>
      </c>
      <c r="M88" s="166" t="n">
        <f aca="false">2290.6</f>
        <v>2290.6</v>
      </c>
      <c r="N88" s="156" t="n">
        <f aca="false">4052.6</f>
        <v>4052.6</v>
      </c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68</v>
      </c>
      <c r="C89" s="19" t="s">
        <v>20</v>
      </c>
      <c r="D89" s="19"/>
      <c r="E89" s="19" t="s">
        <v>69</v>
      </c>
      <c r="F89" s="22"/>
      <c r="G89" s="146" t="s">
        <v>22</v>
      </c>
      <c r="H89" s="147" t="n">
        <v>6</v>
      </c>
      <c r="I89" s="148" t="n">
        <v>3</v>
      </c>
      <c r="J89" s="148" t="n">
        <v>3</v>
      </c>
      <c r="K89" s="149" t="n">
        <v>4786.75</v>
      </c>
      <c r="L89" s="149" t="n">
        <f aca="false">M89+N89</f>
        <v>4786.75</v>
      </c>
      <c r="M89" s="149" t="n">
        <v>4105.29</v>
      </c>
      <c r="N89" s="190" t="n">
        <v>681.46</v>
      </c>
      <c r="O89" s="151" t="n">
        <v>15</v>
      </c>
      <c r="P89" s="149" t="n">
        <v>48957.86</v>
      </c>
      <c r="Q89" s="149" t="n">
        <f aca="false">R89+S89</f>
        <v>46890.62</v>
      </c>
      <c r="R89" s="149" t="n">
        <v>21614.18</v>
      </c>
      <c r="S89" s="190" t="n">
        <v>25276.44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26" t="s">
        <v>176</v>
      </c>
      <c r="G90" s="152" t="s">
        <v>26</v>
      </c>
      <c r="H90" s="153" t="n">
        <v>8</v>
      </c>
      <c r="I90" s="154" t="n">
        <v>3</v>
      </c>
      <c r="J90" s="154" t="n">
        <v>3</v>
      </c>
      <c r="K90" s="235" t="n">
        <v>5995.52</v>
      </c>
      <c r="L90" s="155" t="n">
        <f aca="false">M90+N90</f>
        <v>6096.52</v>
      </c>
      <c r="M90" s="155" t="n">
        <f aca="false">2819.2</f>
        <v>2819.2</v>
      </c>
      <c r="N90" s="156" t="n">
        <f aca="false">1691.52+1585.8</f>
        <v>3277.32</v>
      </c>
      <c r="O90" s="157"/>
      <c r="P90" s="155" t="n">
        <v>5462.2</v>
      </c>
      <c r="Q90" s="155" t="n">
        <f aca="false">R90+S90</f>
        <v>4405</v>
      </c>
      <c r="R90" s="155" t="n">
        <f aca="false">4405</f>
        <v>4405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.75" hidden="false" customHeight="true" outlineLevel="0" collapsed="false">
      <c r="A91" s="54"/>
      <c r="B91" s="55" t="s">
        <v>70</v>
      </c>
      <c r="C91" s="56" t="s">
        <v>20</v>
      </c>
      <c r="D91" s="56" t="s">
        <v>71</v>
      </c>
      <c r="E91" s="56" t="s">
        <v>25</v>
      </c>
      <c r="F91" s="36"/>
      <c r="G91" s="158" t="s">
        <v>22</v>
      </c>
      <c r="H91" s="169" t="n">
        <v>1</v>
      </c>
      <c r="I91" s="160"/>
      <c r="J91" s="160"/>
      <c r="K91" s="161"/>
      <c r="L91" s="161" t="n">
        <f aca="false">M91+N91</f>
        <v>0</v>
      </c>
      <c r="M91" s="161"/>
      <c r="N91" s="190"/>
      <c r="O91" s="163" t="n">
        <v>4</v>
      </c>
      <c r="P91" s="161" t="n">
        <v>27231.45</v>
      </c>
      <c r="Q91" s="161" t="n">
        <f aca="false">R91+S91</f>
        <v>7836.01</v>
      </c>
      <c r="R91" s="161" t="n">
        <v>7836.01</v>
      </c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54"/>
      <c r="B92" s="55"/>
      <c r="C92" s="55"/>
      <c r="D92" s="55"/>
      <c r="E92" s="55"/>
      <c r="F92" s="26" t="s">
        <v>177</v>
      </c>
      <c r="G92" s="152" t="s">
        <v>26</v>
      </c>
      <c r="H92" s="153" t="n">
        <v>7</v>
      </c>
      <c r="I92" s="154" t="n">
        <v>1</v>
      </c>
      <c r="J92" s="154" t="n">
        <v>1</v>
      </c>
      <c r="K92" s="155" t="n">
        <v>1409.6</v>
      </c>
      <c r="L92" s="155" t="n">
        <f aca="false">M92+N92</f>
        <v>1409.6</v>
      </c>
      <c r="M92" s="155"/>
      <c r="N92" s="156" t="n">
        <f aca="false">1409.6</f>
        <v>1409.6</v>
      </c>
      <c r="O92" s="157"/>
      <c r="P92" s="155"/>
      <c r="Q92" s="155" t="n">
        <f aca="false">R92+S92</f>
        <v>0</v>
      </c>
      <c r="R92" s="155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33"/>
      <c r="B93" s="34" t="s">
        <v>72</v>
      </c>
      <c r="C93" s="35" t="s">
        <v>20</v>
      </c>
      <c r="D93" s="35"/>
      <c r="E93" s="35" t="s">
        <v>52</v>
      </c>
      <c r="F93" s="36"/>
      <c r="G93" s="146" t="s">
        <v>22</v>
      </c>
      <c r="H93" s="159" t="n">
        <v>5</v>
      </c>
      <c r="I93" s="160" t="n">
        <v>4</v>
      </c>
      <c r="J93" s="160" t="n">
        <v>4</v>
      </c>
      <c r="K93" s="161" t="n">
        <v>6532.71</v>
      </c>
      <c r="L93" s="161" t="n">
        <f aca="false">M93+N93</f>
        <v>5486.08</v>
      </c>
      <c r="M93" s="161" t="n">
        <v>5486.08</v>
      </c>
      <c r="N93" s="190"/>
      <c r="O93" s="163" t="n">
        <v>6</v>
      </c>
      <c r="P93" s="161" t="n">
        <v>44299.53</v>
      </c>
      <c r="Q93" s="161" t="n">
        <f aca="false">R93+S93</f>
        <v>44299.53</v>
      </c>
      <c r="R93" s="161" t="n">
        <v>44299.53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33"/>
      <c r="B94" s="34"/>
      <c r="C94" s="34"/>
      <c r="D94" s="34"/>
      <c r="E94" s="34"/>
      <c r="F94" s="42" t="s">
        <v>178</v>
      </c>
      <c r="G94" s="164" t="s">
        <v>26</v>
      </c>
      <c r="H94" s="171" t="n">
        <v>5</v>
      </c>
      <c r="I94" s="165" t="n">
        <v>2</v>
      </c>
      <c r="J94" s="165" t="n">
        <v>2</v>
      </c>
      <c r="K94" s="166" t="n">
        <v>1938.2</v>
      </c>
      <c r="L94" s="161" t="n">
        <f aca="false">M94+N94</f>
        <v>4052.6</v>
      </c>
      <c r="M94" s="166" t="n">
        <v>4052.6</v>
      </c>
      <c r="N94" s="156"/>
      <c r="O94" s="168" t="n">
        <v>3</v>
      </c>
      <c r="P94" s="166" t="n">
        <v>11108.48</v>
      </c>
      <c r="Q94" s="166" t="n">
        <f aca="false">R94+S94</f>
        <v>11989.48</v>
      </c>
      <c r="R94" s="166" t="n">
        <f aca="false">3347.8+8641.68</f>
        <v>11989.48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17"/>
      <c r="B95" s="18" t="s">
        <v>73</v>
      </c>
      <c r="C95" s="19" t="s">
        <v>20</v>
      </c>
      <c r="D95" s="19"/>
      <c r="E95" s="19" t="s">
        <v>52</v>
      </c>
      <c r="F95" s="20"/>
      <c r="G95" s="146" t="s">
        <v>22</v>
      </c>
      <c r="H95" s="159" t="n">
        <v>5</v>
      </c>
      <c r="I95" s="148" t="n">
        <v>2</v>
      </c>
      <c r="J95" s="148" t="n">
        <v>2</v>
      </c>
      <c r="K95" s="149" t="n">
        <v>2277.26</v>
      </c>
      <c r="L95" s="149" t="n">
        <f aca="false">M95+N95</f>
        <v>2277.26</v>
      </c>
      <c r="M95" s="149" t="n">
        <v>2277.26</v>
      </c>
      <c r="N95" s="190"/>
      <c r="O95" s="151" t="n">
        <v>4</v>
      </c>
      <c r="P95" s="149" t="n">
        <v>11448.19</v>
      </c>
      <c r="Q95" s="149" t="n">
        <f aca="false">R95+S95</f>
        <v>10069.05</v>
      </c>
      <c r="R95" s="149" t="n">
        <v>10069.05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17"/>
      <c r="B96" s="18"/>
      <c r="C96" s="18"/>
      <c r="D96" s="18"/>
      <c r="E96" s="18"/>
      <c r="F96" s="26" t="s">
        <v>179</v>
      </c>
      <c r="G96" s="152" t="s">
        <v>26</v>
      </c>
      <c r="H96" s="153" t="n">
        <v>6</v>
      </c>
      <c r="I96" s="154" t="n">
        <v>3</v>
      </c>
      <c r="J96" s="154" t="n">
        <v>3</v>
      </c>
      <c r="K96" s="155" t="n">
        <v>8454.6</v>
      </c>
      <c r="L96" s="155" t="n">
        <f aca="false">M96+N96</f>
        <v>12686.4</v>
      </c>
      <c r="M96" s="155" t="n">
        <v>5109.8</v>
      </c>
      <c r="N96" s="156" t="n">
        <f aca="false">4052.6+3524</f>
        <v>7576.6</v>
      </c>
      <c r="O96" s="157" t="n">
        <v>2</v>
      </c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33"/>
      <c r="B97" s="34" t="s">
        <v>74</v>
      </c>
      <c r="C97" s="35" t="s">
        <v>33</v>
      </c>
      <c r="D97" s="35" t="s">
        <v>75</v>
      </c>
      <c r="E97" s="35" t="s">
        <v>25</v>
      </c>
      <c r="F97" s="36"/>
      <c r="G97" s="146" t="s">
        <v>22</v>
      </c>
      <c r="H97" s="159" t="n">
        <v>27</v>
      </c>
      <c r="I97" s="160" t="n">
        <v>18</v>
      </c>
      <c r="J97" s="160" t="n">
        <v>18</v>
      </c>
      <c r="K97" s="161" t="n">
        <v>29309.44</v>
      </c>
      <c r="L97" s="161" t="n">
        <f aca="false">M97+N97</f>
        <v>22267.64</v>
      </c>
      <c r="M97" s="161" t="n">
        <v>11782.59</v>
      </c>
      <c r="N97" s="190" t="n">
        <v>10485.05</v>
      </c>
      <c r="O97" s="163" t="n">
        <v>23</v>
      </c>
      <c r="P97" s="161" t="n">
        <v>58007.41</v>
      </c>
      <c r="Q97" s="161" t="n">
        <f aca="false">R97+S97</f>
        <v>57478.81</v>
      </c>
      <c r="R97" s="161" t="n">
        <v>42638.01</v>
      </c>
      <c r="S97" s="190" t="n">
        <v>14840.8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270</v>
      </c>
      <c r="G98" s="164" t="s">
        <v>26</v>
      </c>
      <c r="H98" s="153"/>
      <c r="I98" s="165"/>
      <c r="J98" s="165"/>
      <c r="K98" s="166"/>
      <c r="L98" s="166" t="n">
        <f aca="false">M98+N98</f>
        <v>0</v>
      </c>
      <c r="M98" s="166"/>
      <c r="N98" s="156"/>
      <c r="O98" s="168" t="n">
        <v>6</v>
      </c>
      <c r="P98" s="166" t="n">
        <v>15858</v>
      </c>
      <c r="Q98" s="166" t="n">
        <f aca="false">R98+S98</f>
        <v>23170.3</v>
      </c>
      <c r="R98" s="166" t="n">
        <v>21936.9</v>
      </c>
      <c r="S98" s="156" t="n">
        <v>1233.4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72"/>
      <c r="B99" s="73" t="s">
        <v>76</v>
      </c>
      <c r="C99" s="74" t="s">
        <v>20</v>
      </c>
      <c r="D99" s="74" t="s">
        <v>180</v>
      </c>
      <c r="E99" s="74" t="s">
        <v>25</v>
      </c>
      <c r="F99" s="20"/>
      <c r="G99" s="146" t="s">
        <v>22</v>
      </c>
      <c r="H99" s="159" t="n">
        <v>16</v>
      </c>
      <c r="I99" s="148" t="n">
        <v>15</v>
      </c>
      <c r="J99" s="148" t="n">
        <v>15</v>
      </c>
      <c r="K99" s="149" t="n">
        <v>12723.15</v>
      </c>
      <c r="L99" s="149" t="n">
        <f aca="false">M99+N99</f>
        <v>11302.98</v>
      </c>
      <c r="M99" s="149" t="n">
        <v>5035.24</v>
      </c>
      <c r="N99" s="190" t="n">
        <v>6267.74</v>
      </c>
      <c r="O99" s="151" t="n">
        <v>2</v>
      </c>
      <c r="P99" s="149" t="n">
        <v>12380.09</v>
      </c>
      <c r="Q99" s="149" t="n">
        <f aca="false">R99+S99</f>
        <v>12380.09</v>
      </c>
      <c r="R99" s="149" t="n">
        <v>12380.09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 t="s">
        <v>181</v>
      </c>
      <c r="G100" s="164" t="s">
        <v>26</v>
      </c>
      <c r="H100" s="171" t="n">
        <v>7</v>
      </c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8457.6</v>
      </c>
      <c r="Q100" s="166" t="n">
        <f aca="false">R100+S100</f>
        <v>7488.5</v>
      </c>
      <c r="R100" s="165" t="n">
        <v>6431.3</v>
      </c>
      <c r="S100" s="156" t="n">
        <v>1057.2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17"/>
      <c r="B101" s="18" t="s">
        <v>77</v>
      </c>
      <c r="C101" s="19" t="s">
        <v>38</v>
      </c>
      <c r="D101" s="19" t="s">
        <v>78</v>
      </c>
      <c r="E101" s="19" t="s">
        <v>25</v>
      </c>
      <c r="F101" s="22"/>
      <c r="G101" s="146" t="s">
        <v>22</v>
      </c>
      <c r="H101" s="169" t="n">
        <v>9</v>
      </c>
      <c r="I101" s="148" t="n">
        <v>8</v>
      </c>
      <c r="J101" s="148" t="n">
        <v>9</v>
      </c>
      <c r="K101" s="149" t="n">
        <v>7482.33</v>
      </c>
      <c r="L101" s="149" t="n">
        <f aca="false">M101+N101</f>
        <v>7482.33</v>
      </c>
      <c r="M101" s="149" t="n">
        <v>4148.63</v>
      </c>
      <c r="N101" s="190" t="n">
        <v>3333.7</v>
      </c>
      <c r="O101" s="151" t="n">
        <v>7</v>
      </c>
      <c r="P101" s="149" t="n">
        <v>12808.33</v>
      </c>
      <c r="Q101" s="149" t="n">
        <f aca="false">R101+S101</f>
        <v>12279.73</v>
      </c>
      <c r="R101" s="149" t="n">
        <v>8651.42</v>
      </c>
      <c r="S101" s="190" t="n">
        <v>3628.31</v>
      </c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 t="s">
        <v>182</v>
      </c>
      <c r="G102" s="180" t="s">
        <v>26</v>
      </c>
      <c r="H102" s="159" t="n">
        <v>6</v>
      </c>
      <c r="I102" s="181" t="n">
        <v>1</v>
      </c>
      <c r="J102" s="181" t="n">
        <v>1</v>
      </c>
      <c r="K102" s="182" t="n">
        <v>4581.2</v>
      </c>
      <c r="L102" s="182" t="n">
        <f aca="false">M102+N102</f>
        <v>3876.4</v>
      </c>
      <c r="M102" s="182"/>
      <c r="N102" s="167" t="n">
        <f aca="false">3876.4</f>
        <v>3876.4</v>
      </c>
      <c r="O102" s="184" t="n">
        <v>8</v>
      </c>
      <c r="P102" s="182" t="n">
        <v>19029.6</v>
      </c>
      <c r="Q102" s="182" t="n">
        <f aca="false">R102+S102</f>
        <v>12686.4</v>
      </c>
      <c r="R102" s="182" t="n">
        <f aca="false">8986.2</f>
        <v>8986.2</v>
      </c>
      <c r="S102" s="167" t="n">
        <f aca="false">3700.2</f>
        <v>3700.2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false" outlineLevel="0" collapsed="false">
      <c r="A103" s="17"/>
      <c r="B103" s="18"/>
      <c r="C103" s="18"/>
      <c r="D103" s="18"/>
      <c r="E103" s="18"/>
      <c r="F103" s="85" t="s">
        <v>237</v>
      </c>
      <c r="G103" s="185" t="s">
        <v>23</v>
      </c>
      <c r="H103" s="186" t="n">
        <v>2</v>
      </c>
      <c r="I103" s="154" t="n">
        <v>2</v>
      </c>
      <c r="J103" s="154" t="n">
        <v>2</v>
      </c>
      <c r="K103" s="155" t="n">
        <v>9338.6</v>
      </c>
      <c r="L103" s="155" t="n">
        <v>1585.8</v>
      </c>
      <c r="M103" s="155" t="n">
        <v>1585.8</v>
      </c>
      <c r="N103" s="156" t="n">
        <v>3347.8</v>
      </c>
      <c r="O103" s="157" t="n">
        <v>4</v>
      </c>
      <c r="P103" s="155" t="n">
        <v>8281.4</v>
      </c>
      <c r="Q103" s="155" t="n">
        <v>7752.8</v>
      </c>
      <c r="R103" s="155" t="n">
        <v>7752.8</v>
      </c>
      <c r="S103" s="156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33"/>
      <c r="B104" s="34" t="s">
        <v>79</v>
      </c>
      <c r="C104" s="35" t="s">
        <v>20</v>
      </c>
      <c r="D104" s="35"/>
      <c r="E104" s="35" t="s">
        <v>52</v>
      </c>
      <c r="F104" s="38"/>
      <c r="G104" s="146" t="s">
        <v>22</v>
      </c>
      <c r="H104" s="159" t="n">
        <v>8</v>
      </c>
      <c r="I104" s="160" t="n">
        <v>3</v>
      </c>
      <c r="J104" s="160" t="n">
        <v>4</v>
      </c>
      <c r="K104" s="161" t="n">
        <v>6553.94</v>
      </c>
      <c r="L104" s="161" t="n">
        <f aca="false">M104+N104</f>
        <v>6509.89</v>
      </c>
      <c r="M104" s="161" t="n">
        <v>5452.69</v>
      </c>
      <c r="N104" s="190" t="n">
        <v>1057.2</v>
      </c>
      <c r="O104" s="163" t="n">
        <v>9</v>
      </c>
      <c r="P104" s="161" t="n">
        <v>33475.92</v>
      </c>
      <c r="Q104" s="161" t="n">
        <f aca="false">R104+S104</f>
        <v>32771.12</v>
      </c>
      <c r="R104" s="161" t="n">
        <v>23178.94</v>
      </c>
      <c r="S104" s="190" t="n">
        <v>9592.18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164" t="s">
        <v>26</v>
      </c>
      <c r="H105" s="153"/>
      <c r="I105" s="165"/>
      <c r="J105" s="165"/>
      <c r="K105" s="166"/>
      <c r="L105" s="166" t="n">
        <f aca="false">M105+N105</f>
        <v>0</v>
      </c>
      <c r="M105" s="166"/>
      <c r="N105" s="156"/>
      <c r="O105" s="168"/>
      <c r="P105" s="166"/>
      <c r="Q105" s="166" t="n">
        <f aca="false">R105+S105</f>
        <v>0</v>
      </c>
      <c r="R105" s="166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72"/>
      <c r="B106" s="73" t="s">
        <v>80</v>
      </c>
      <c r="C106" s="74" t="s">
        <v>20</v>
      </c>
      <c r="D106" s="74"/>
      <c r="E106" s="74" t="s">
        <v>81</v>
      </c>
      <c r="F106" s="20"/>
      <c r="G106" s="146" t="s">
        <v>22</v>
      </c>
      <c r="H106" s="159" t="n">
        <v>8</v>
      </c>
      <c r="I106" s="148" t="n">
        <v>3</v>
      </c>
      <c r="J106" s="148" t="n">
        <v>4</v>
      </c>
      <c r="K106" s="149" t="n">
        <v>6657.21</v>
      </c>
      <c r="L106" s="149" t="n">
        <f aca="false">M106+N106</f>
        <v>6657.21</v>
      </c>
      <c r="M106" s="149" t="n">
        <v>6657.21</v>
      </c>
      <c r="N106" s="190"/>
      <c r="O106" s="151" t="n">
        <v>1</v>
      </c>
      <c r="P106" s="149" t="n">
        <v>2381.63</v>
      </c>
      <c r="Q106" s="149" t="n">
        <f aca="false">R106+S106</f>
        <v>0</v>
      </c>
      <c r="R106" s="149"/>
      <c r="S106" s="190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72"/>
      <c r="B107" s="73"/>
      <c r="C107" s="73"/>
      <c r="D107" s="73"/>
      <c r="E107" s="73"/>
      <c r="F107" s="42" t="s">
        <v>183</v>
      </c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 t="n">
        <v>1</v>
      </c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17"/>
      <c r="B108" s="18" t="s">
        <v>82</v>
      </c>
      <c r="C108" s="19" t="s">
        <v>20</v>
      </c>
      <c r="D108" s="19" t="s">
        <v>184</v>
      </c>
      <c r="E108" s="19" t="s">
        <v>25</v>
      </c>
      <c r="F108" s="22"/>
      <c r="G108" s="146" t="s">
        <v>22</v>
      </c>
      <c r="H108" s="159" t="n">
        <v>23</v>
      </c>
      <c r="I108" s="148" t="n">
        <v>21</v>
      </c>
      <c r="J108" s="148" t="n">
        <v>26</v>
      </c>
      <c r="K108" s="149" t="n">
        <v>29760.04</v>
      </c>
      <c r="L108" s="149" t="n">
        <f aca="false">M108+N108</f>
        <v>29760.04</v>
      </c>
      <c r="M108" s="149" t="n">
        <v>15002.32</v>
      </c>
      <c r="N108" s="190" t="n">
        <v>14757.72</v>
      </c>
      <c r="O108" s="151" t="n">
        <v>3</v>
      </c>
      <c r="P108" s="149" t="n">
        <v>16087.08</v>
      </c>
      <c r="Q108" s="149" t="n">
        <f aca="false">R108+S108</f>
        <v>16087.08</v>
      </c>
      <c r="R108" s="149" t="n">
        <v>8372.97</v>
      </c>
      <c r="S108" s="190" t="n">
        <v>7714.11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42" t="s">
        <v>185</v>
      </c>
      <c r="G109" s="164" t="s">
        <v>26</v>
      </c>
      <c r="H109" s="175" t="n">
        <v>3</v>
      </c>
      <c r="I109" s="165" t="n">
        <v>2</v>
      </c>
      <c r="J109" s="165" t="n">
        <v>2</v>
      </c>
      <c r="K109" s="166" t="n">
        <v>6519.4</v>
      </c>
      <c r="L109" s="166" t="n">
        <f aca="false">M109+N109</f>
        <v>2114.4</v>
      </c>
      <c r="M109" s="166"/>
      <c r="N109" s="156" t="n">
        <v>2114.4</v>
      </c>
      <c r="O109" s="168" t="n">
        <v>2</v>
      </c>
      <c r="P109" s="166" t="n">
        <v>3171.6</v>
      </c>
      <c r="Q109" s="166" t="n">
        <f aca="false">R109+S109</f>
        <v>2643</v>
      </c>
      <c r="R109" s="166" t="n">
        <f aca="false">2643</f>
        <v>2643</v>
      </c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232"/>
      <c r="B110" s="233" t="s">
        <v>254</v>
      </c>
      <c r="C110" s="19" t="s">
        <v>20</v>
      </c>
      <c r="D110" s="19"/>
      <c r="E110" s="19" t="s">
        <v>25</v>
      </c>
      <c r="F110" s="20"/>
      <c r="G110" s="146" t="s">
        <v>22</v>
      </c>
      <c r="H110" s="173"/>
      <c r="I110" s="148"/>
      <c r="J110" s="148"/>
      <c r="K110" s="149"/>
      <c r="L110" s="149"/>
      <c r="M110" s="149"/>
      <c r="N110" s="190"/>
      <c r="O110" s="206"/>
      <c r="P110" s="149"/>
      <c r="Q110" s="149"/>
      <c r="R110" s="149"/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" hidden="false" customHeight="false" outlineLevel="0" collapsed="false">
      <c r="A111" s="232"/>
      <c r="B111" s="233"/>
      <c r="C111" s="19"/>
      <c r="D111" s="19"/>
      <c r="E111" s="19"/>
      <c r="F111" s="26" t="s">
        <v>271</v>
      </c>
      <c r="G111" s="152" t="s">
        <v>26</v>
      </c>
      <c r="H111" s="174" t="n">
        <v>4</v>
      </c>
      <c r="I111" s="154"/>
      <c r="J111" s="154"/>
      <c r="K111" s="155"/>
      <c r="L111" s="155"/>
      <c r="M111" s="155"/>
      <c r="N111" s="156"/>
      <c r="O111" s="209"/>
      <c r="P111" s="155"/>
      <c r="Q111" s="155"/>
      <c r="R111" s="155"/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54"/>
      <c r="B112" s="55" t="s">
        <v>83</v>
      </c>
      <c r="C112" s="56" t="s">
        <v>20</v>
      </c>
      <c r="D112" s="56"/>
      <c r="E112" s="56" t="s">
        <v>25</v>
      </c>
      <c r="F112" s="36"/>
      <c r="G112" s="158" t="s">
        <v>22</v>
      </c>
      <c r="H112" s="159" t="n">
        <v>13</v>
      </c>
      <c r="I112" s="160" t="n">
        <v>9</v>
      </c>
      <c r="J112" s="160" t="n">
        <v>9</v>
      </c>
      <c r="K112" s="161" t="n">
        <v>9100.55</v>
      </c>
      <c r="L112" s="161" t="n">
        <f aca="false">M112+N112</f>
        <v>9100.55</v>
      </c>
      <c r="M112" s="161" t="n">
        <v>6281.55</v>
      </c>
      <c r="N112" s="190" t="n">
        <v>2819</v>
      </c>
      <c r="O112" s="163" t="n">
        <v>4</v>
      </c>
      <c r="P112" s="161" t="n">
        <v>12699.66</v>
      </c>
      <c r="Q112" s="161" t="n">
        <f aca="false">R112+S112</f>
        <v>12699.66</v>
      </c>
      <c r="R112" s="161" t="n">
        <v>10585.46</v>
      </c>
      <c r="S112" s="190" t="n">
        <v>2114.2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54"/>
      <c r="B113" s="55"/>
      <c r="C113" s="55"/>
      <c r="D113" s="55"/>
      <c r="E113" s="55"/>
      <c r="F113" s="26" t="s">
        <v>186</v>
      </c>
      <c r="G113" s="152" t="s">
        <v>26</v>
      </c>
      <c r="H113" s="153" t="n">
        <v>4</v>
      </c>
      <c r="I113" s="154"/>
      <c r="J113" s="154"/>
      <c r="K113" s="155"/>
      <c r="L113" s="155" t="n">
        <f aca="false">M113+N113</f>
        <v>0</v>
      </c>
      <c r="M113" s="155"/>
      <c r="N113" s="156"/>
      <c r="O113" s="157" t="n">
        <v>8</v>
      </c>
      <c r="P113" s="155" t="n">
        <v>11805.4</v>
      </c>
      <c r="Q113" s="155" t="n">
        <f aca="false">R113+S113</f>
        <v>22553.6</v>
      </c>
      <c r="R113" s="155" t="n">
        <f aca="false">528.6</f>
        <v>528.6</v>
      </c>
      <c r="S113" s="156" t="n">
        <f aca="false">22025</f>
        <v>22025</v>
      </c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33"/>
      <c r="B114" s="34" t="s">
        <v>84</v>
      </c>
      <c r="C114" s="35" t="s">
        <v>20</v>
      </c>
      <c r="D114" s="35"/>
      <c r="E114" s="35" t="s">
        <v>52</v>
      </c>
      <c r="F114" s="36"/>
      <c r="G114" s="146" t="s">
        <v>22</v>
      </c>
      <c r="H114" s="159" t="n">
        <v>26</v>
      </c>
      <c r="I114" s="160" t="n">
        <v>15</v>
      </c>
      <c r="J114" s="160" t="n">
        <v>22</v>
      </c>
      <c r="K114" s="161" t="n">
        <v>39989.79</v>
      </c>
      <c r="L114" s="161" t="n">
        <f aca="false">M114+N114</f>
        <v>12299.99</v>
      </c>
      <c r="M114" s="161" t="n">
        <v>12299.99</v>
      </c>
      <c r="N114" s="190"/>
      <c r="O114" s="163" t="n">
        <v>26</v>
      </c>
      <c r="P114" s="161" t="n">
        <v>50568.54</v>
      </c>
      <c r="Q114" s="161" t="n">
        <f aca="false">R114+S114</f>
        <v>32814.22</v>
      </c>
      <c r="R114" s="161" t="n">
        <v>32814.22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33"/>
      <c r="B115" s="34"/>
      <c r="C115" s="34"/>
      <c r="D115" s="34"/>
      <c r="E115" s="34"/>
      <c r="F115" s="71"/>
      <c r="G115" s="164" t="s">
        <v>26</v>
      </c>
      <c r="H115" s="153"/>
      <c r="I115" s="165"/>
      <c r="J115" s="165"/>
      <c r="K115" s="166"/>
      <c r="L115" s="166" t="n">
        <f aca="false">M115+N115</f>
        <v>0</v>
      </c>
      <c r="M115" s="166"/>
      <c r="N115" s="156"/>
      <c r="O115" s="168"/>
      <c r="P115" s="166"/>
      <c r="Q115" s="166" t="n">
        <f aca="false">R115+S115</f>
        <v>0</v>
      </c>
      <c r="R115" s="166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17"/>
      <c r="B116" s="18" t="s">
        <v>85</v>
      </c>
      <c r="C116" s="19" t="s">
        <v>20</v>
      </c>
      <c r="D116" s="19"/>
      <c r="E116" s="19" t="s">
        <v>25</v>
      </c>
      <c r="F116" s="87"/>
      <c r="G116" s="146" t="s">
        <v>22</v>
      </c>
      <c r="H116" s="169" t="n">
        <v>4</v>
      </c>
      <c r="I116" s="148" t="n">
        <v>1</v>
      </c>
      <c r="J116" s="148" t="n">
        <v>1</v>
      </c>
      <c r="K116" s="149" t="n">
        <v>528.6</v>
      </c>
      <c r="L116" s="149" t="n">
        <f aca="false">M116+N116</f>
        <v>528.6</v>
      </c>
      <c r="M116" s="149" t="n">
        <v>528.6</v>
      </c>
      <c r="N116" s="190"/>
      <c r="O116" s="151" t="n">
        <v>1</v>
      </c>
      <c r="P116" s="149" t="n">
        <v>1162.92</v>
      </c>
      <c r="Q116" s="149" t="n">
        <f aca="false">R116+S116</f>
        <v>1162.92</v>
      </c>
      <c r="R116" s="149" t="n">
        <v>1162.92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/>
      <c r="C117" s="18"/>
      <c r="D117" s="18"/>
      <c r="E117" s="18"/>
      <c r="F117" s="88"/>
      <c r="G117" s="152" t="s">
        <v>26</v>
      </c>
      <c r="H117" s="153"/>
      <c r="I117" s="154"/>
      <c r="J117" s="154"/>
      <c r="K117" s="155"/>
      <c r="L117" s="155" t="n">
        <f aca="false">M117+N117</f>
        <v>0</v>
      </c>
      <c r="M117" s="155"/>
      <c r="N117" s="156"/>
      <c r="O117" s="157"/>
      <c r="P117" s="155"/>
      <c r="Q117" s="155" t="n">
        <f aca="false">R117+S117</f>
        <v>0</v>
      </c>
      <c r="R117" s="155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17"/>
      <c r="B118" s="73" t="s">
        <v>86</v>
      </c>
      <c r="C118" s="74" t="s">
        <v>33</v>
      </c>
      <c r="D118" s="74" t="s">
        <v>87</v>
      </c>
      <c r="E118" s="74" t="s">
        <v>88</v>
      </c>
      <c r="F118" s="20"/>
      <c r="G118" s="146" t="s">
        <v>22</v>
      </c>
      <c r="H118" s="169" t="n">
        <v>24</v>
      </c>
      <c r="I118" s="148" t="n">
        <v>15</v>
      </c>
      <c r="J118" s="148" t="n">
        <v>17</v>
      </c>
      <c r="K118" s="149" t="n">
        <v>19023.83</v>
      </c>
      <c r="L118" s="149" t="n">
        <f aca="false">M118+N118</f>
        <v>17200.17</v>
      </c>
      <c r="M118" s="149" t="n">
        <v>11020.18</v>
      </c>
      <c r="N118" s="190" t="n">
        <v>6179.99</v>
      </c>
      <c r="O118" s="151" t="n">
        <v>16</v>
      </c>
      <c r="P118" s="149" t="n">
        <v>25230.26</v>
      </c>
      <c r="Q118" s="149" t="n">
        <f aca="false">R118+S118</f>
        <v>12627.56</v>
      </c>
      <c r="R118" s="149" t="n">
        <v>12627.56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73"/>
      <c r="C119" s="73"/>
      <c r="D119" s="73"/>
      <c r="E119" s="73"/>
      <c r="F119" s="42" t="s">
        <v>238</v>
      </c>
      <c r="G119" s="164" t="s">
        <v>23</v>
      </c>
      <c r="H119" s="171" t="n">
        <v>20</v>
      </c>
      <c r="I119" s="165" t="n">
        <v>9</v>
      </c>
      <c r="J119" s="165" t="n">
        <v>9</v>
      </c>
      <c r="K119" s="166" t="n">
        <v>9867.2</v>
      </c>
      <c r="L119" s="166" t="n">
        <v>5990.8</v>
      </c>
      <c r="M119" s="166" t="n">
        <v>5990.8</v>
      </c>
      <c r="N119" s="156"/>
      <c r="O119" s="168" t="n">
        <v>12</v>
      </c>
      <c r="P119" s="166" t="n">
        <v>28808.7</v>
      </c>
      <c r="Q119" s="166" t="n">
        <v>20527.3</v>
      </c>
      <c r="R119" s="166" t="n">
        <v>20527.3</v>
      </c>
      <c r="S119" s="156" t="n">
        <v>1585.8</v>
      </c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89</v>
      </c>
      <c r="C120" s="19" t="s">
        <v>20</v>
      </c>
      <c r="D120" s="19" t="s">
        <v>90</v>
      </c>
      <c r="E120" s="19" t="s">
        <v>42</v>
      </c>
      <c r="F120" s="20"/>
      <c r="G120" s="146" t="s">
        <v>22</v>
      </c>
      <c r="H120" s="159" t="n">
        <v>22</v>
      </c>
      <c r="I120" s="148" t="n">
        <v>13</v>
      </c>
      <c r="J120" s="148" t="n">
        <v>15</v>
      </c>
      <c r="K120" s="149" t="n">
        <v>41123.37</v>
      </c>
      <c r="L120" s="149" t="n">
        <f aca="false">M120+N120</f>
        <v>17842.41</v>
      </c>
      <c r="M120" s="149" t="n">
        <v>17842.41</v>
      </c>
      <c r="N120" s="190"/>
      <c r="O120" s="151" t="n">
        <v>19</v>
      </c>
      <c r="P120" s="149" t="n">
        <v>67670.88</v>
      </c>
      <c r="Q120" s="149" t="n">
        <f aca="false">R120+S120</f>
        <v>51532.2</v>
      </c>
      <c r="R120" s="149" t="n">
        <v>51532.2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26" t="s">
        <v>239</v>
      </c>
      <c r="G121" s="152" t="s">
        <v>23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33"/>
      <c r="B122" s="34" t="s">
        <v>91</v>
      </c>
      <c r="C122" s="35" t="s">
        <v>33</v>
      </c>
      <c r="D122" s="35" t="s">
        <v>92</v>
      </c>
      <c r="E122" s="35" t="s">
        <v>25</v>
      </c>
      <c r="F122" s="38" t="s">
        <v>239</v>
      </c>
      <c r="G122" s="146" t="s">
        <v>22</v>
      </c>
      <c r="H122" s="159" t="n">
        <v>21</v>
      </c>
      <c r="I122" s="160" t="n">
        <v>8</v>
      </c>
      <c r="J122" s="160" t="n">
        <v>8</v>
      </c>
      <c r="K122" s="161" t="n">
        <v>23468.7</v>
      </c>
      <c r="L122" s="161" t="n">
        <f aca="false">M122+N122</f>
        <v>11259.18</v>
      </c>
      <c r="M122" s="161" t="n">
        <v>4915.98</v>
      </c>
      <c r="N122" s="190" t="n">
        <v>6343.2</v>
      </c>
      <c r="O122" s="163" t="n">
        <v>12</v>
      </c>
      <c r="P122" s="161" t="n">
        <v>78950.02</v>
      </c>
      <c r="Q122" s="161" t="n">
        <f aca="false">R122+S122</f>
        <v>59549.41</v>
      </c>
      <c r="R122" s="161" t="n">
        <v>55873.9</v>
      </c>
      <c r="S122" s="190" t="n">
        <v>3675.51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33"/>
      <c r="B123" s="34"/>
      <c r="C123" s="34"/>
      <c r="D123" s="34"/>
      <c r="E123" s="34"/>
      <c r="F123" s="89"/>
      <c r="G123" s="187" t="s">
        <v>23</v>
      </c>
      <c r="H123" s="169"/>
      <c r="I123" s="188"/>
      <c r="J123" s="188"/>
      <c r="K123" s="189"/>
      <c r="L123" s="189" t="n">
        <f aca="false">M123+N123</f>
        <v>0</v>
      </c>
      <c r="M123" s="189"/>
      <c r="N123" s="167"/>
      <c r="O123" s="191"/>
      <c r="P123" s="189"/>
      <c r="Q123" s="189" t="n">
        <f aca="false">R123+S123</f>
        <v>0</v>
      </c>
      <c r="R123" s="189"/>
      <c r="S123" s="167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/>
      <c r="C124" s="34"/>
      <c r="D124" s="34"/>
      <c r="E124" s="34"/>
      <c r="F124" s="42" t="s">
        <v>187</v>
      </c>
      <c r="G124" s="164" t="s">
        <v>26</v>
      </c>
      <c r="H124" s="171" t="n">
        <v>5</v>
      </c>
      <c r="I124" s="165" t="n">
        <v>1</v>
      </c>
      <c r="J124" s="165" t="n">
        <v>2</v>
      </c>
      <c r="K124" s="166" t="n">
        <v>4193.56</v>
      </c>
      <c r="L124" s="166" t="n">
        <f aca="false">M124+N124</f>
        <v>4193.56</v>
      </c>
      <c r="M124" s="166" t="n">
        <f aca="false">2266.65+23.95</f>
        <v>2290.6</v>
      </c>
      <c r="N124" s="156" t="n">
        <v>1902.96</v>
      </c>
      <c r="O124" s="168" t="n">
        <v>7</v>
      </c>
      <c r="P124" s="166" t="n">
        <v>29143.12</v>
      </c>
      <c r="Q124" s="166" t="n">
        <f aca="false">R124+S124</f>
        <v>39891.68</v>
      </c>
      <c r="R124" s="166" t="n">
        <f aca="false">29167.43-47.9+23.95</f>
        <v>29143.48</v>
      </c>
      <c r="S124" s="156" t="n">
        <v>10748.2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 t="s">
        <v>93</v>
      </c>
      <c r="C125" s="19" t="s">
        <v>20</v>
      </c>
      <c r="D125" s="49"/>
      <c r="E125" s="19" t="s">
        <v>50</v>
      </c>
      <c r="F125" s="87"/>
      <c r="G125" s="146" t="s">
        <v>22</v>
      </c>
      <c r="H125" s="169" t="n">
        <v>6</v>
      </c>
      <c r="I125" s="148"/>
      <c r="J125" s="148"/>
      <c r="K125" s="149"/>
      <c r="L125" s="149" t="n">
        <f aca="false">M125+N125</f>
        <v>0</v>
      </c>
      <c r="M125" s="149"/>
      <c r="N125" s="190"/>
      <c r="O125" s="151"/>
      <c r="P125" s="149"/>
      <c r="Q125" s="149" t="n">
        <f aca="false">R125+S125</f>
        <v>0</v>
      </c>
      <c r="R125" s="149"/>
      <c r="S125" s="19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88" t="s">
        <v>188</v>
      </c>
      <c r="G126" s="152" t="s">
        <v>26</v>
      </c>
      <c r="H126" s="171" t="n">
        <v>6</v>
      </c>
      <c r="I126" s="154"/>
      <c r="J126" s="154"/>
      <c r="K126" s="155"/>
      <c r="L126" s="155" t="n">
        <f aca="false">M126+N126</f>
        <v>0</v>
      </c>
      <c r="M126" s="155"/>
      <c r="N126" s="156"/>
      <c r="O126" s="157"/>
      <c r="P126" s="155"/>
      <c r="Q126" s="155" t="n">
        <f aca="false">R126+S126</f>
        <v>0</v>
      </c>
      <c r="R126" s="155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" hidden="false" customHeight="true" outlineLevel="0" collapsed="false">
      <c r="A127" s="54"/>
      <c r="B127" s="55" t="s">
        <v>94</v>
      </c>
      <c r="C127" s="56" t="s">
        <v>20</v>
      </c>
      <c r="D127" s="56"/>
      <c r="E127" s="56" t="s">
        <v>52</v>
      </c>
      <c r="F127" s="36"/>
      <c r="G127" s="158" t="s">
        <v>22</v>
      </c>
      <c r="H127" s="159" t="n">
        <v>9</v>
      </c>
      <c r="I127" s="160" t="n">
        <v>5</v>
      </c>
      <c r="J127" s="160" t="n">
        <v>5</v>
      </c>
      <c r="K127" s="161" t="n">
        <v>4891.75</v>
      </c>
      <c r="L127" s="161" t="n">
        <f aca="false">M127+N127</f>
        <v>4891.75</v>
      </c>
      <c r="M127" s="161" t="n">
        <v>2133.78</v>
      </c>
      <c r="N127" s="190" t="n">
        <v>2757.97</v>
      </c>
      <c r="O127" s="163" t="n">
        <v>8</v>
      </c>
      <c r="P127" s="161" t="n">
        <v>22293.04</v>
      </c>
      <c r="Q127" s="161" t="n">
        <f aca="false">R127+S127</f>
        <v>22293.04</v>
      </c>
      <c r="R127" s="161" t="n">
        <v>17787.53</v>
      </c>
      <c r="S127" s="190" t="n">
        <v>4505.51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54"/>
      <c r="B128" s="55"/>
      <c r="C128" s="55"/>
      <c r="D128" s="55"/>
      <c r="E128" s="55"/>
      <c r="F128" s="42" t="s">
        <v>189</v>
      </c>
      <c r="G128" s="164" t="s">
        <v>26</v>
      </c>
      <c r="H128" s="171" t="n">
        <v>10</v>
      </c>
      <c r="I128" s="154" t="n">
        <v>1</v>
      </c>
      <c r="J128" s="154" t="n">
        <v>1</v>
      </c>
      <c r="K128" s="155" t="n">
        <v>2446.8</v>
      </c>
      <c r="L128" s="155" t="n">
        <f aca="false">M128+N128</f>
        <v>1938.2</v>
      </c>
      <c r="M128" s="155"/>
      <c r="N128" s="156" t="n">
        <v>1938.2</v>
      </c>
      <c r="O128" s="157" t="n">
        <v>5</v>
      </c>
      <c r="P128" s="155" t="n">
        <v>6871.8</v>
      </c>
      <c r="Q128" s="155" t="n">
        <f aca="false">R128+S128</f>
        <v>9242.4</v>
      </c>
      <c r="R128" s="155" t="n">
        <f aca="false">1585.8+1585.8</f>
        <v>3171.6</v>
      </c>
      <c r="S128" s="156" t="n">
        <v>6070.8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33"/>
      <c r="B129" s="34" t="s">
        <v>95</v>
      </c>
      <c r="C129" s="35" t="s">
        <v>33</v>
      </c>
      <c r="D129" s="35" t="s">
        <v>96</v>
      </c>
      <c r="E129" s="35" t="s">
        <v>88</v>
      </c>
      <c r="F129" s="22"/>
      <c r="G129" s="146" t="s">
        <v>22</v>
      </c>
      <c r="H129" s="159" t="n">
        <v>14</v>
      </c>
      <c r="I129" s="160" t="n">
        <v>8</v>
      </c>
      <c r="J129" s="192" t="n">
        <v>8</v>
      </c>
      <c r="K129" s="161" t="n">
        <v>11316.44</v>
      </c>
      <c r="L129" s="161" t="n">
        <f aca="false">M129+N129</f>
        <v>11316.44</v>
      </c>
      <c r="M129" s="161" t="n">
        <v>11316.44</v>
      </c>
      <c r="N129" s="190"/>
      <c r="O129" s="163"/>
      <c r="P129" s="161"/>
      <c r="Q129" s="161" t="n">
        <f aca="false">R129+S129</f>
        <v>0</v>
      </c>
      <c r="R129" s="161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33"/>
      <c r="B130" s="34"/>
      <c r="C130" s="34"/>
      <c r="D130" s="34"/>
      <c r="E130" s="34"/>
      <c r="F130" s="42" t="s">
        <v>240</v>
      </c>
      <c r="G130" s="164" t="s">
        <v>23</v>
      </c>
      <c r="H130" s="171" t="n">
        <v>6</v>
      </c>
      <c r="I130" s="165" t="n">
        <v>4</v>
      </c>
      <c r="J130" s="165" t="n">
        <v>4</v>
      </c>
      <c r="K130" s="166" t="n">
        <v>2114.4</v>
      </c>
      <c r="L130" s="166" t="n">
        <f aca="false">M130+N130</f>
        <v>2114.4</v>
      </c>
      <c r="M130" s="166"/>
      <c r="N130" s="156" t="n">
        <v>2114.4</v>
      </c>
      <c r="O130" s="168" t="n">
        <v>2</v>
      </c>
      <c r="P130" s="166" t="n">
        <v>4405</v>
      </c>
      <c r="Q130" s="166" t="n">
        <f aca="false">R130+S130</f>
        <v>4405</v>
      </c>
      <c r="R130" s="166"/>
      <c r="S130" s="156" t="n">
        <v>4405</v>
      </c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72"/>
      <c r="B131" s="73" t="s">
        <v>97</v>
      </c>
      <c r="C131" s="74" t="s">
        <v>20</v>
      </c>
      <c r="D131" s="74"/>
      <c r="E131" s="74" t="s">
        <v>98</v>
      </c>
      <c r="F131" s="20"/>
      <c r="G131" s="146" t="s">
        <v>22</v>
      </c>
      <c r="H131" s="159" t="n">
        <v>8</v>
      </c>
      <c r="I131" s="148" t="n">
        <v>7</v>
      </c>
      <c r="J131" s="148" t="n">
        <v>8</v>
      </c>
      <c r="K131" s="149" t="n">
        <v>16726.6</v>
      </c>
      <c r="L131" s="149" t="n">
        <f aca="false">M131+N131</f>
        <v>6540.54</v>
      </c>
      <c r="M131" s="149" t="n">
        <v>2223.64</v>
      </c>
      <c r="N131" s="190" t="n">
        <v>4316.9</v>
      </c>
      <c r="O131" s="151" t="n">
        <v>9</v>
      </c>
      <c r="P131" s="149" t="n">
        <v>43045.94</v>
      </c>
      <c r="Q131" s="149" t="n">
        <f aca="false">R131+S131</f>
        <v>26155.25</v>
      </c>
      <c r="R131" s="149" t="n">
        <v>19174.92</v>
      </c>
      <c r="S131" s="190" t="n">
        <v>6980.33</v>
      </c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72"/>
      <c r="B132" s="73"/>
      <c r="C132" s="73"/>
      <c r="D132" s="73"/>
      <c r="E132" s="73"/>
      <c r="F132" s="42" t="s">
        <v>241</v>
      </c>
      <c r="G132" s="164" t="s">
        <v>23</v>
      </c>
      <c r="H132" s="172" t="n">
        <v>17</v>
      </c>
      <c r="I132" s="165" t="n">
        <v>14</v>
      </c>
      <c r="J132" s="165" t="n">
        <v>14</v>
      </c>
      <c r="K132" s="166" t="n">
        <v>12510.2</v>
      </c>
      <c r="L132" s="166" t="n">
        <v>2605.89</v>
      </c>
      <c r="M132" s="166" t="n">
        <v>2605.89</v>
      </c>
      <c r="N132" s="156" t="n">
        <v>2680.11</v>
      </c>
      <c r="O132" s="168" t="n">
        <v>11</v>
      </c>
      <c r="P132" s="166" t="n">
        <v>28192</v>
      </c>
      <c r="Q132" s="166" t="n">
        <v>18677.2</v>
      </c>
      <c r="R132" s="166" t="n">
        <v>18677.2</v>
      </c>
      <c r="S132" s="156" t="n">
        <v>2643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17"/>
      <c r="B133" s="18" t="s">
        <v>156</v>
      </c>
      <c r="C133" s="19"/>
      <c r="D133" s="19"/>
      <c r="E133" s="19"/>
      <c r="F133" s="20"/>
      <c r="G133" s="146" t="s">
        <v>22</v>
      </c>
      <c r="H133" s="173" t="n">
        <v>23</v>
      </c>
      <c r="I133" s="148" t="n">
        <v>18</v>
      </c>
      <c r="J133" s="148" t="n">
        <v>22</v>
      </c>
      <c r="K133" s="149" t="n">
        <v>58379.29</v>
      </c>
      <c r="L133" s="149" t="n">
        <f aca="false">M133+N133</f>
        <v>55268.48</v>
      </c>
      <c r="M133" s="149" t="n">
        <v>14834.62</v>
      </c>
      <c r="N133" s="190" t="n">
        <v>40433.86</v>
      </c>
      <c r="O133" s="151"/>
      <c r="P133" s="149"/>
      <c r="Q133" s="149" t="n">
        <f aca="false">R133+S133</f>
        <v>0</v>
      </c>
      <c r="R133" s="149"/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89" t="s">
        <v>272</v>
      </c>
      <c r="G134" s="187" t="s">
        <v>26</v>
      </c>
      <c r="H134" s="172" t="n">
        <v>10</v>
      </c>
      <c r="I134" s="188" t="n">
        <v>5</v>
      </c>
      <c r="J134" s="188" t="n">
        <v>5</v>
      </c>
      <c r="K134" s="189" t="n">
        <v>4754.4</v>
      </c>
      <c r="L134" s="189" t="n">
        <f aca="false">M134+N134</f>
        <v>4581.2</v>
      </c>
      <c r="M134" s="189" t="n">
        <f aca="false">1233.4</f>
        <v>1233.4</v>
      </c>
      <c r="N134" s="167" t="n">
        <f aca="false">3347.8</f>
        <v>3347.8</v>
      </c>
      <c r="O134" s="191"/>
      <c r="P134" s="189"/>
      <c r="Q134" s="189" t="n">
        <f aca="false">R134+S134</f>
        <v>0</v>
      </c>
      <c r="R134" s="189"/>
      <c r="S134" s="167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/>
      <c r="C135" s="18"/>
      <c r="D135" s="18"/>
      <c r="E135" s="18"/>
      <c r="F135" s="71"/>
      <c r="G135" s="164" t="s">
        <v>23</v>
      </c>
      <c r="H135" s="177"/>
      <c r="I135" s="165"/>
      <c r="J135" s="165"/>
      <c r="K135" s="166"/>
      <c r="L135" s="166" t="n">
        <f aca="false">M135+N135</f>
        <v>0</v>
      </c>
      <c r="M135" s="166"/>
      <c r="N135" s="156"/>
      <c r="O135" s="168"/>
      <c r="P135" s="166"/>
      <c r="Q135" s="166" t="n">
        <f aca="false">R135+S135</f>
        <v>0</v>
      </c>
      <c r="R135" s="166"/>
      <c r="S135" s="156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 t="s">
        <v>190</v>
      </c>
      <c r="C136" s="19"/>
      <c r="D136" s="19"/>
      <c r="E136" s="19"/>
      <c r="F136" s="20"/>
      <c r="G136" s="146" t="s">
        <v>22</v>
      </c>
      <c r="H136" s="173" t="n">
        <v>7</v>
      </c>
      <c r="I136" s="148"/>
      <c r="J136" s="148"/>
      <c r="K136" s="149"/>
      <c r="L136" s="149" t="n">
        <f aca="false">M136+N136</f>
        <v>0</v>
      </c>
      <c r="M136" s="149"/>
      <c r="N136" s="190"/>
      <c r="O136" s="151"/>
      <c r="P136" s="149"/>
      <c r="Q136" s="149" t="n">
        <f aca="false">R136+S136</f>
        <v>0</v>
      </c>
      <c r="R136" s="149"/>
      <c r="S136" s="190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26" t="s">
        <v>242</v>
      </c>
      <c r="G137" s="152" t="s">
        <v>23</v>
      </c>
      <c r="H137" s="174" t="n">
        <v>2</v>
      </c>
      <c r="I137" s="154"/>
      <c r="J137" s="154"/>
      <c r="K137" s="155"/>
      <c r="L137" s="155" t="n">
        <f aca="false">M137+N137</f>
        <v>0</v>
      </c>
      <c r="M137" s="155"/>
      <c r="N137" s="156"/>
      <c r="O137" s="157"/>
      <c r="P137" s="155"/>
      <c r="Q137" s="155" t="n">
        <f aca="false">R137+S137</f>
        <v>0</v>
      </c>
      <c r="R137" s="155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54"/>
      <c r="B138" s="55" t="s">
        <v>99</v>
      </c>
      <c r="C138" s="56" t="s">
        <v>33</v>
      </c>
      <c r="D138" s="56" t="s">
        <v>100</v>
      </c>
      <c r="E138" s="56" t="s">
        <v>101</v>
      </c>
      <c r="F138" s="36"/>
      <c r="G138" s="158" t="s">
        <v>22</v>
      </c>
      <c r="H138" s="159" t="n">
        <v>24</v>
      </c>
      <c r="I138" s="160" t="n">
        <v>17</v>
      </c>
      <c r="J138" s="160" t="n">
        <v>17</v>
      </c>
      <c r="K138" s="161" t="n">
        <v>5109.8</v>
      </c>
      <c r="L138" s="161" t="n">
        <f aca="false">M138+N138</f>
        <v>4757.4</v>
      </c>
      <c r="M138" s="161" t="n">
        <v>4493.1</v>
      </c>
      <c r="N138" s="190" t="n">
        <v>264.3</v>
      </c>
      <c r="O138" s="163" t="n">
        <v>23</v>
      </c>
      <c r="P138" s="161" t="n">
        <v>41618.89</v>
      </c>
      <c r="Q138" s="161" t="n">
        <f aca="false">R138+S138</f>
        <v>38323.95</v>
      </c>
      <c r="R138" s="161" t="n">
        <v>27295.59</v>
      </c>
      <c r="S138" s="190" t="n">
        <v>11028.36</v>
      </c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54"/>
      <c r="B139" s="55"/>
      <c r="C139" s="55"/>
      <c r="D139" s="55"/>
      <c r="E139" s="55"/>
      <c r="F139" s="80" t="s">
        <v>191</v>
      </c>
      <c r="G139" s="180" t="s">
        <v>26</v>
      </c>
      <c r="H139" s="169" t="n">
        <v>9</v>
      </c>
      <c r="I139" s="181" t="n">
        <v>5</v>
      </c>
      <c r="J139" s="181" t="n">
        <v>5</v>
      </c>
      <c r="K139" s="182" t="n">
        <v>4228.8</v>
      </c>
      <c r="L139" s="182" t="n">
        <f aca="false">M139+N139</f>
        <v>2643</v>
      </c>
      <c r="M139" s="182" t="n">
        <f aca="false">2643</f>
        <v>2643</v>
      </c>
      <c r="N139" s="167"/>
      <c r="O139" s="184" t="n">
        <v>3</v>
      </c>
      <c r="P139" s="182" t="n">
        <v>5374.1</v>
      </c>
      <c r="Q139" s="161" t="n">
        <f aca="false">R139+S139</f>
        <v>6607.5</v>
      </c>
      <c r="R139" s="182" t="n">
        <f aca="false">1673.9+3700.2</f>
        <v>5374.1</v>
      </c>
      <c r="S139" s="167" t="n">
        <f aca="false">1233.4</f>
        <v>1233.4</v>
      </c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/>
      <c r="C140" s="55"/>
      <c r="D140" s="55"/>
      <c r="E140" s="55"/>
      <c r="F140" s="42"/>
      <c r="G140" s="164" t="s">
        <v>23</v>
      </c>
      <c r="H140" s="175"/>
      <c r="I140" s="165"/>
      <c r="J140" s="165"/>
      <c r="K140" s="166"/>
      <c r="L140" s="166" t="n">
        <f aca="false">M140+N140</f>
        <v>0</v>
      </c>
      <c r="M140" s="166"/>
      <c r="N140" s="156"/>
      <c r="O140" s="168"/>
      <c r="P140" s="166"/>
      <c r="Q140" s="166" t="n">
        <f aca="false">R140+S140</f>
        <v>0</v>
      </c>
      <c r="R140" s="166"/>
      <c r="S140" s="156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 t="s">
        <v>224</v>
      </c>
      <c r="C141" s="19"/>
      <c r="D141" s="19"/>
      <c r="E141" s="19"/>
      <c r="F141" s="20"/>
      <c r="G141" s="146" t="s">
        <v>22</v>
      </c>
      <c r="H141" s="147" t="n">
        <v>5</v>
      </c>
      <c r="I141" s="148" t="n">
        <v>4</v>
      </c>
      <c r="J141" s="148" t="n">
        <v>5</v>
      </c>
      <c r="K141" s="149" t="n">
        <v>4673.26</v>
      </c>
      <c r="L141" s="149" t="n">
        <f aca="false">M141+N141</f>
        <v>3968.46</v>
      </c>
      <c r="M141" s="149" t="n">
        <v>3968.46</v>
      </c>
      <c r="N141" s="190"/>
      <c r="O141" s="151"/>
      <c r="P141" s="149"/>
      <c r="Q141" s="149" t="n">
        <f aca="false">R141+S141</f>
        <v>0</v>
      </c>
      <c r="R141" s="149"/>
      <c r="S141" s="19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26" t="s">
        <v>273</v>
      </c>
      <c r="G142" s="152" t="s">
        <v>26</v>
      </c>
      <c r="H142" s="176" t="n">
        <v>4</v>
      </c>
      <c r="I142" s="154"/>
      <c r="J142" s="154"/>
      <c r="K142" s="155"/>
      <c r="L142" s="155" t="n">
        <f aca="false">M142+N142</f>
        <v>0</v>
      </c>
      <c r="M142" s="155"/>
      <c r="N142" s="156"/>
      <c r="O142" s="157"/>
      <c r="P142" s="155"/>
      <c r="Q142" s="155" t="n">
        <f aca="false">R142+S142</f>
        <v>0</v>
      </c>
      <c r="R142" s="155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33"/>
      <c r="B143" s="34" t="s">
        <v>102</v>
      </c>
      <c r="C143" s="35" t="s">
        <v>20</v>
      </c>
      <c r="D143" s="35"/>
      <c r="E143" s="35" t="s">
        <v>25</v>
      </c>
      <c r="F143" s="36"/>
      <c r="G143" s="158" t="s">
        <v>22</v>
      </c>
      <c r="H143" s="169" t="n">
        <v>17</v>
      </c>
      <c r="I143" s="160" t="n">
        <v>15</v>
      </c>
      <c r="J143" s="160" t="n">
        <v>15</v>
      </c>
      <c r="K143" s="161" t="n">
        <v>17408.56</v>
      </c>
      <c r="L143" s="161" t="n">
        <f aca="false">M143+N143</f>
        <v>14377.92</v>
      </c>
      <c r="M143" s="161" t="n">
        <v>14377.92</v>
      </c>
      <c r="N143" s="190"/>
      <c r="O143" s="163" t="n">
        <v>8</v>
      </c>
      <c r="P143" s="161" t="n">
        <v>30446.34</v>
      </c>
      <c r="Q143" s="161" t="n">
        <f aca="false">R143+S143</f>
        <v>20530.3</v>
      </c>
      <c r="R143" s="161" t="n">
        <v>20530.3</v>
      </c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42" t="s">
        <v>192</v>
      </c>
      <c r="G144" s="164" t="s">
        <v>26</v>
      </c>
      <c r="H144" s="153" t="n">
        <v>5</v>
      </c>
      <c r="I144" s="165" t="n">
        <v>2</v>
      </c>
      <c r="J144" s="165" t="n">
        <v>2</v>
      </c>
      <c r="K144" s="166" t="n">
        <v>7400.4</v>
      </c>
      <c r="L144" s="166" t="n">
        <f aca="false">M144+N144</f>
        <v>3700.2</v>
      </c>
      <c r="M144" s="166" t="n">
        <f aca="false">3700.2</f>
        <v>3700.2</v>
      </c>
      <c r="N144" s="156"/>
      <c r="O144" s="168" t="n">
        <v>4</v>
      </c>
      <c r="P144" s="166" t="n">
        <v>5286</v>
      </c>
      <c r="Q144" s="166" t="n">
        <f aca="false">R144+S144</f>
        <v>8105.2</v>
      </c>
      <c r="R144" s="166" t="n">
        <f aca="false">6519.4</f>
        <v>6519.4</v>
      </c>
      <c r="S144" s="156" t="n">
        <f aca="false">1585.8</f>
        <v>1585.8</v>
      </c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" hidden="false" customHeight="true" outlineLevel="0" collapsed="false">
      <c r="A145" s="17"/>
      <c r="B145" s="18" t="s">
        <v>103</v>
      </c>
      <c r="C145" s="19" t="s">
        <v>20</v>
      </c>
      <c r="D145" s="19"/>
      <c r="E145" s="19" t="s">
        <v>52</v>
      </c>
      <c r="F145" s="20"/>
      <c r="G145" s="146" t="s">
        <v>22</v>
      </c>
      <c r="H145" s="169" t="n">
        <v>2</v>
      </c>
      <c r="I145" s="148" t="n">
        <v>2</v>
      </c>
      <c r="J145" s="148" t="n">
        <v>3</v>
      </c>
      <c r="K145" s="149" t="n">
        <v>8028.11</v>
      </c>
      <c r="L145" s="149" t="n">
        <f aca="false">M145+N145</f>
        <v>8028.11</v>
      </c>
      <c r="M145" s="149" t="n">
        <v>8028.11</v>
      </c>
      <c r="N145" s="190"/>
      <c r="O145" s="151" t="n">
        <v>11</v>
      </c>
      <c r="P145" s="149" t="n">
        <v>78643.31</v>
      </c>
      <c r="Q145" s="149" t="n">
        <f aca="false">R145+S145</f>
        <v>70386.17</v>
      </c>
      <c r="R145" s="149" t="n">
        <v>70386.17</v>
      </c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193</v>
      </c>
      <c r="G146" s="152" t="s">
        <v>26</v>
      </c>
      <c r="H146" s="171" t="n">
        <v>10</v>
      </c>
      <c r="I146" s="154" t="n">
        <v>1</v>
      </c>
      <c r="J146" s="154" t="n">
        <v>1</v>
      </c>
      <c r="K146" s="155" t="n">
        <v>704.8</v>
      </c>
      <c r="L146" s="155" t="n">
        <f aca="false">M146+N146</f>
        <v>2466.8</v>
      </c>
      <c r="M146" s="155"/>
      <c r="N146" s="156" t="n">
        <v>2466.8</v>
      </c>
      <c r="O146" s="157" t="n">
        <v>6</v>
      </c>
      <c r="P146" s="155" t="n">
        <v>10925</v>
      </c>
      <c r="Q146" s="155" t="n">
        <f aca="false">R146+S146</f>
        <v>9867.04</v>
      </c>
      <c r="R146" s="155" t="n">
        <f aca="false">2290.6+528.6</f>
        <v>2819.2</v>
      </c>
      <c r="S146" s="156" t="n">
        <v>7047.84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54"/>
      <c r="B147" s="55" t="s">
        <v>104</v>
      </c>
      <c r="C147" s="56" t="s">
        <v>20</v>
      </c>
      <c r="D147" s="56"/>
      <c r="E147" s="56" t="s">
        <v>25</v>
      </c>
      <c r="F147" s="22"/>
      <c r="G147" s="146" t="s">
        <v>22</v>
      </c>
      <c r="H147" s="169"/>
      <c r="I147" s="160"/>
      <c r="J147" s="160"/>
      <c r="K147" s="161"/>
      <c r="L147" s="161" t="n">
        <f aca="false">M147+N147</f>
        <v>0</v>
      </c>
      <c r="M147" s="161"/>
      <c r="N147" s="190"/>
      <c r="O147" s="163" t="n">
        <v>2</v>
      </c>
      <c r="P147" s="161" t="n">
        <v>20088.08</v>
      </c>
      <c r="Q147" s="161" t="n">
        <f aca="false">R147+S147</f>
        <v>20088.08</v>
      </c>
      <c r="R147" s="161" t="n">
        <v>20088.08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54"/>
      <c r="B148" s="55"/>
      <c r="C148" s="55"/>
      <c r="D148" s="55"/>
      <c r="E148" s="55"/>
      <c r="F148" s="26" t="s">
        <v>281</v>
      </c>
      <c r="G148" s="152" t="s">
        <v>26</v>
      </c>
      <c r="H148" s="153" t="n">
        <v>3</v>
      </c>
      <c r="I148" s="154"/>
      <c r="J148" s="154"/>
      <c r="K148" s="155"/>
      <c r="L148" s="155" t="n">
        <f aca="false">M148+N148</f>
        <v>0</v>
      </c>
      <c r="M148" s="155"/>
      <c r="N148" s="156"/>
      <c r="O148" s="157"/>
      <c r="P148" s="155"/>
      <c r="Q148" s="155" t="n">
        <f aca="false">R148+S148</f>
        <v>0</v>
      </c>
      <c r="R148" s="155"/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.75" hidden="false" customHeight="true" outlineLevel="0" collapsed="false">
      <c r="A149" s="33"/>
      <c r="B149" s="34" t="s">
        <v>105</v>
      </c>
      <c r="C149" s="35" t="s">
        <v>33</v>
      </c>
      <c r="D149" s="35" t="s">
        <v>106</v>
      </c>
      <c r="E149" s="35" t="s">
        <v>107</v>
      </c>
      <c r="F149" s="36"/>
      <c r="G149" s="146" t="s">
        <v>22</v>
      </c>
      <c r="H149" s="169" t="n">
        <v>7</v>
      </c>
      <c r="I149" s="160" t="n">
        <v>1</v>
      </c>
      <c r="J149" s="160" t="n">
        <v>1</v>
      </c>
      <c r="K149" s="161" t="n">
        <v>352.4</v>
      </c>
      <c r="L149" s="161" t="n">
        <f aca="false">M149+N149</f>
        <v>352.4</v>
      </c>
      <c r="M149" s="161"/>
      <c r="N149" s="190" t="n">
        <v>352.4</v>
      </c>
      <c r="O149" s="163" t="n">
        <v>10</v>
      </c>
      <c r="P149" s="161" t="n">
        <v>45624.44</v>
      </c>
      <c r="Q149" s="161" t="n">
        <f aca="false">R149+S149</f>
        <v>34610.73</v>
      </c>
      <c r="R149" s="161" t="n">
        <v>18435.62</v>
      </c>
      <c r="S149" s="190" t="n">
        <v>16175.11</v>
      </c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33"/>
      <c r="B150" s="34"/>
      <c r="C150" s="34"/>
      <c r="D150" s="34"/>
      <c r="E150" s="34"/>
      <c r="F150" s="42" t="s">
        <v>194</v>
      </c>
      <c r="G150" s="164" t="s">
        <v>26</v>
      </c>
      <c r="H150" s="153" t="n">
        <v>2</v>
      </c>
      <c r="I150" s="165"/>
      <c r="J150" s="165"/>
      <c r="K150" s="166"/>
      <c r="L150" s="161" t="n">
        <f aca="false">M150+N150</f>
        <v>0</v>
      </c>
      <c r="M150" s="166" t="n">
        <v>0</v>
      </c>
      <c r="N150" s="156"/>
      <c r="O150" s="168" t="n">
        <v>6</v>
      </c>
      <c r="P150" s="166" t="n">
        <v>23645.16</v>
      </c>
      <c r="Q150" s="166" t="n">
        <f aca="false">R150+S150</f>
        <v>16536.3</v>
      </c>
      <c r="R150" s="166" t="n">
        <f aca="false">4801.4+881</f>
        <v>5682.4</v>
      </c>
      <c r="S150" s="156" t="n">
        <v>10853.9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72"/>
      <c r="B151" s="73" t="s">
        <v>108</v>
      </c>
      <c r="C151" s="74" t="s">
        <v>33</v>
      </c>
      <c r="D151" s="74" t="s">
        <v>109</v>
      </c>
      <c r="E151" s="74" t="s">
        <v>25</v>
      </c>
      <c r="F151" s="20"/>
      <c r="G151" s="146" t="s">
        <v>22</v>
      </c>
      <c r="H151" s="159" t="n">
        <v>10</v>
      </c>
      <c r="I151" s="148" t="n">
        <v>9</v>
      </c>
      <c r="J151" s="148" t="n">
        <v>10</v>
      </c>
      <c r="K151" s="149" t="n">
        <v>16914.79</v>
      </c>
      <c r="L151" s="149" t="n">
        <f aca="false">M151+N151</f>
        <v>11519.11</v>
      </c>
      <c r="M151" s="149" t="n">
        <v>11519.11</v>
      </c>
      <c r="N151" s="190"/>
      <c r="O151" s="151" t="n">
        <v>20</v>
      </c>
      <c r="P151" s="149" t="n">
        <v>45849.4</v>
      </c>
      <c r="Q151" s="149" t="n">
        <f aca="false">R151+S151</f>
        <v>37928.86</v>
      </c>
      <c r="R151" s="149" t="n">
        <v>37928.86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 t="s">
        <v>195</v>
      </c>
      <c r="G152" s="164" t="s">
        <v>26</v>
      </c>
      <c r="H152" s="171" t="n">
        <v>9</v>
      </c>
      <c r="I152" s="165" t="n">
        <v>6</v>
      </c>
      <c r="J152" s="165" t="n">
        <v>6</v>
      </c>
      <c r="K152" s="166" t="n">
        <v>21743.08</v>
      </c>
      <c r="L152" s="166" t="n">
        <f aca="false">M152+N152</f>
        <v>14448.4</v>
      </c>
      <c r="M152" s="166" t="n">
        <f aca="false">6942.28</f>
        <v>6942.28</v>
      </c>
      <c r="N152" s="156" t="n">
        <f aca="false">7506.12</f>
        <v>7506.12</v>
      </c>
      <c r="O152" s="157" t="n">
        <v>11</v>
      </c>
      <c r="P152" s="155" t="n">
        <v>30218.3</v>
      </c>
      <c r="Q152" s="155" t="n">
        <f aca="false">R152+S152</f>
        <v>38112.06</v>
      </c>
      <c r="R152" s="155" t="n">
        <f aca="false">15329.4+14888.9</f>
        <v>30218.3</v>
      </c>
      <c r="S152" s="156" t="n">
        <v>7893.76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17"/>
      <c r="B153" s="18" t="s">
        <v>110</v>
      </c>
      <c r="C153" s="19" t="s">
        <v>33</v>
      </c>
      <c r="D153" s="19" t="s">
        <v>111</v>
      </c>
      <c r="E153" s="19" t="s">
        <v>25</v>
      </c>
      <c r="F153" s="20"/>
      <c r="G153" s="146" t="s">
        <v>22</v>
      </c>
      <c r="H153" s="159" t="n">
        <v>22</v>
      </c>
      <c r="I153" s="148" t="n">
        <v>20</v>
      </c>
      <c r="J153" s="193" t="n">
        <v>22</v>
      </c>
      <c r="K153" s="149" t="n">
        <v>22356.96</v>
      </c>
      <c r="L153" s="149" t="n">
        <f aca="false">M153+N153</f>
        <v>19498.3</v>
      </c>
      <c r="M153" s="149" t="n">
        <v>16881.73</v>
      </c>
      <c r="N153" s="190" t="n">
        <v>2616.57</v>
      </c>
      <c r="O153" s="163" t="n">
        <v>15</v>
      </c>
      <c r="P153" s="161" t="n">
        <v>58355.79</v>
      </c>
      <c r="Q153" s="161" t="n">
        <f aca="false">R153+S153</f>
        <v>50536.47</v>
      </c>
      <c r="R153" s="161" t="n">
        <v>44245.85</v>
      </c>
      <c r="S153" s="190" t="n">
        <v>6290.62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42" t="s">
        <v>196</v>
      </c>
      <c r="G154" s="164" t="s">
        <v>26</v>
      </c>
      <c r="H154" s="175" t="n">
        <v>4</v>
      </c>
      <c r="I154" s="165" t="n">
        <v>2</v>
      </c>
      <c r="J154" s="165" t="n">
        <v>1</v>
      </c>
      <c r="K154" s="166" t="n">
        <v>4405</v>
      </c>
      <c r="L154" s="166" t="n">
        <f aca="false">M154+N154</f>
        <v>0</v>
      </c>
      <c r="M154" s="166"/>
      <c r="N154" s="167"/>
      <c r="O154" s="168" t="n">
        <v>1</v>
      </c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40" t="s">
        <v>282</v>
      </c>
      <c r="C155" s="19" t="s">
        <v>33</v>
      </c>
      <c r="D155" s="19" t="s">
        <v>283</v>
      </c>
      <c r="E155" s="19" t="s">
        <v>284</v>
      </c>
      <c r="F155" s="20"/>
      <c r="G155" s="146" t="s">
        <v>22</v>
      </c>
      <c r="H155" s="173"/>
      <c r="I155" s="148"/>
      <c r="J155" s="148"/>
      <c r="K155" s="241"/>
      <c r="L155" s="241" t="n">
        <f aca="false">M155+N155</f>
        <v>0</v>
      </c>
      <c r="M155" s="241"/>
      <c r="N155" s="150"/>
      <c r="O155" s="206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40"/>
      <c r="C156" s="19"/>
      <c r="D156" s="19"/>
      <c r="E156" s="19"/>
      <c r="F156" s="26" t="s">
        <v>285</v>
      </c>
      <c r="G156" s="152" t="s">
        <v>23</v>
      </c>
      <c r="H156" s="174" t="n">
        <v>4</v>
      </c>
      <c r="I156" s="154"/>
      <c r="J156" s="154"/>
      <c r="K156" s="242"/>
      <c r="L156" s="242" t="n">
        <f aca="false">M156+N156</f>
        <v>0</v>
      </c>
      <c r="M156" s="242"/>
      <c r="N156" s="156"/>
      <c r="O156" s="209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112</v>
      </c>
      <c r="C157" s="35" t="s">
        <v>20</v>
      </c>
      <c r="D157" s="35" t="s">
        <v>197</v>
      </c>
      <c r="E157" s="35" t="s">
        <v>25</v>
      </c>
      <c r="F157" s="36"/>
      <c r="G157" s="158" t="s">
        <v>22</v>
      </c>
      <c r="H157" s="159" t="n">
        <v>18</v>
      </c>
      <c r="I157" s="160" t="n">
        <v>16</v>
      </c>
      <c r="J157" s="160" t="n">
        <v>23</v>
      </c>
      <c r="K157" s="140" t="n">
        <v>60508.61</v>
      </c>
      <c r="L157" s="140" t="n">
        <f aca="false">M157+N157</f>
        <v>37636.31</v>
      </c>
      <c r="M157" s="140" t="n">
        <v>23292.74</v>
      </c>
      <c r="N157" s="190" t="n">
        <v>14343.57</v>
      </c>
      <c r="O157" s="163" t="n">
        <v>6</v>
      </c>
      <c r="P157" s="161" t="n">
        <v>25421.03</v>
      </c>
      <c r="Q157" s="161" t="n">
        <f aca="false">R157+S157</f>
        <v>20244.62</v>
      </c>
      <c r="R157" s="161" t="n">
        <v>20244.62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26" t="s">
        <v>198</v>
      </c>
      <c r="G158" s="152" t="s">
        <v>26</v>
      </c>
      <c r="H158" s="171" t="n">
        <v>3</v>
      </c>
      <c r="I158" s="165"/>
      <c r="J158" s="165" t="n">
        <v>1</v>
      </c>
      <c r="K158" s="166" t="n">
        <v>1762</v>
      </c>
      <c r="L158" s="166" t="n">
        <f aca="false">M158+N158</f>
        <v>1321.5</v>
      </c>
      <c r="M158" s="166"/>
      <c r="N158" s="156" t="n">
        <v>1321.5</v>
      </c>
      <c r="O158" s="168" t="n">
        <v>2</v>
      </c>
      <c r="P158" s="166" t="n">
        <v>2114.4</v>
      </c>
      <c r="Q158" s="166" t="n">
        <f aca="false">R158+S158</f>
        <v>2114.4</v>
      </c>
      <c r="R158" s="166" t="n">
        <f aca="false">2114.4</f>
        <v>2114.4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" hidden="false" customHeight="true" outlineLevel="0" collapsed="false">
      <c r="A159" s="17"/>
      <c r="B159" s="18" t="s">
        <v>113</v>
      </c>
      <c r="C159" s="19" t="s">
        <v>20</v>
      </c>
      <c r="D159" s="19"/>
      <c r="E159" s="19" t="s">
        <v>31</v>
      </c>
      <c r="F159" s="36"/>
      <c r="G159" s="146" t="s">
        <v>22</v>
      </c>
      <c r="H159" s="159" t="n">
        <v>14</v>
      </c>
      <c r="I159" s="148" t="n">
        <v>9</v>
      </c>
      <c r="J159" s="148" t="n">
        <v>12</v>
      </c>
      <c r="K159" s="149" t="n">
        <v>25824.49</v>
      </c>
      <c r="L159" s="149" t="n">
        <f aca="false">M159+N159</f>
        <v>14995.78</v>
      </c>
      <c r="M159" s="149" t="n">
        <v>12303.8</v>
      </c>
      <c r="N159" s="190" t="n">
        <v>2691.98</v>
      </c>
      <c r="O159" s="151" t="n">
        <v>8</v>
      </c>
      <c r="P159" s="149" t="n">
        <v>18834.43</v>
      </c>
      <c r="Q159" s="149" t="n">
        <f aca="false">R159+S159</f>
        <v>18834.43</v>
      </c>
      <c r="R159" s="149" t="n">
        <v>9035.03</v>
      </c>
      <c r="S159" s="190" t="n">
        <v>9799.4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57"/>
      <c r="G160" s="152" t="s">
        <v>26</v>
      </c>
      <c r="H160" s="153"/>
      <c r="I160" s="154"/>
      <c r="J160" s="154"/>
      <c r="K160" s="155"/>
      <c r="L160" s="155" t="n">
        <f aca="false">M160+N160</f>
        <v>0</v>
      </c>
      <c r="M160" s="155"/>
      <c r="N160" s="156"/>
      <c r="O160" s="157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33"/>
      <c r="B161" s="34" t="s">
        <v>114</v>
      </c>
      <c r="C161" s="35" t="s">
        <v>20</v>
      </c>
      <c r="D161" s="95"/>
      <c r="E161" s="35" t="s">
        <v>25</v>
      </c>
      <c r="F161" s="71"/>
      <c r="G161" s="146" t="s">
        <v>22</v>
      </c>
      <c r="H161" s="169" t="n">
        <v>2</v>
      </c>
      <c r="I161" s="160"/>
      <c r="J161" s="160"/>
      <c r="K161" s="161"/>
      <c r="L161" s="161" t="n">
        <f aca="false">M161+N161</f>
        <v>0</v>
      </c>
      <c r="M161" s="161"/>
      <c r="N161" s="190"/>
      <c r="O161" s="163" t="n">
        <v>3</v>
      </c>
      <c r="P161" s="161" t="n">
        <v>4574.09</v>
      </c>
      <c r="Q161" s="161" t="n">
        <f aca="false">R161+S161</f>
        <v>0</v>
      </c>
      <c r="R161" s="161"/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 t="s">
        <v>274</v>
      </c>
      <c r="G162" s="164" t="s">
        <v>26</v>
      </c>
      <c r="H162" s="175" t="n">
        <v>4</v>
      </c>
      <c r="I162" s="165" t="n">
        <v>3</v>
      </c>
      <c r="J162" s="165" t="n">
        <v>3</v>
      </c>
      <c r="K162" s="166" t="n">
        <v>4075.22</v>
      </c>
      <c r="L162" s="166" t="n">
        <f aca="false">M162+N162</f>
        <v>1127.68</v>
      </c>
      <c r="M162" s="166"/>
      <c r="N162" s="156" t="n">
        <f aca="false">1127.68</f>
        <v>1127.68</v>
      </c>
      <c r="O162" s="168"/>
      <c r="P162" s="166"/>
      <c r="Q162" s="166" t="n">
        <f aca="false">R162+S162</f>
        <v>0</v>
      </c>
      <c r="R162" s="166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18" t="s">
        <v>243</v>
      </c>
      <c r="C163" s="219"/>
      <c r="D163" s="19"/>
      <c r="E163" s="19"/>
      <c r="F163" s="20"/>
      <c r="G163" s="146" t="s">
        <v>22</v>
      </c>
      <c r="H163" s="173" t="n">
        <v>4</v>
      </c>
      <c r="I163" s="148" t="n">
        <v>2</v>
      </c>
      <c r="J163" s="148" t="n">
        <v>2</v>
      </c>
      <c r="K163" s="149" t="n">
        <v>4062.29</v>
      </c>
      <c r="L163" s="149" t="n">
        <f aca="false">M163+N163</f>
        <v>4062.29</v>
      </c>
      <c r="M163" s="149"/>
      <c r="N163" s="190" t="n">
        <v>4062.29</v>
      </c>
      <c r="O163" s="206"/>
      <c r="P163" s="149"/>
      <c r="Q163" s="149" t="n">
        <f aca="false">R163+S163</f>
        <v>0</v>
      </c>
      <c r="R163" s="149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 t="s">
        <v>275</v>
      </c>
      <c r="G164" s="152" t="s">
        <v>26</v>
      </c>
      <c r="H164" s="174" t="n">
        <v>4</v>
      </c>
      <c r="I164" s="154" t="n">
        <v>2</v>
      </c>
      <c r="J164" s="154" t="n">
        <v>2</v>
      </c>
      <c r="K164" s="155" t="n">
        <v>2114.4</v>
      </c>
      <c r="L164" s="155" t="n">
        <f aca="false">M164+N164</f>
        <v>3476.14</v>
      </c>
      <c r="M164" s="155" t="n">
        <f aca="false">3476.14</f>
        <v>3476.14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54"/>
      <c r="B165" s="55" t="s">
        <v>200</v>
      </c>
      <c r="C165" s="220"/>
      <c r="D165" s="56"/>
      <c r="E165" s="56"/>
      <c r="F165" s="36"/>
      <c r="G165" s="158" t="s">
        <v>22</v>
      </c>
      <c r="H165" s="159" t="n">
        <v>23</v>
      </c>
      <c r="I165" s="160" t="n">
        <v>19</v>
      </c>
      <c r="J165" s="160" t="n">
        <v>21</v>
      </c>
      <c r="K165" s="161" t="n">
        <v>25574.74</v>
      </c>
      <c r="L165" s="161" t="n">
        <f aca="false">M165+N165</f>
        <v>22458.11</v>
      </c>
      <c r="M165" s="161" t="n">
        <v>14018.13</v>
      </c>
      <c r="N165" s="190" t="n">
        <v>8439.98</v>
      </c>
      <c r="O165" s="163"/>
      <c r="P165" s="161"/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54"/>
      <c r="B166" s="55"/>
      <c r="C166" s="55"/>
      <c r="D166" s="55"/>
      <c r="E166" s="55"/>
      <c r="F166" s="57"/>
      <c r="G166" s="152" t="s">
        <v>26</v>
      </c>
      <c r="H166" s="174" t="n">
        <v>4</v>
      </c>
      <c r="I166" s="154" t="n">
        <v>3</v>
      </c>
      <c r="J166" s="154" t="n">
        <v>3</v>
      </c>
      <c r="K166" s="155" t="n">
        <v>4757.4</v>
      </c>
      <c r="L166" s="155" t="n">
        <f aca="false">M166+N166</f>
        <v>7224.2</v>
      </c>
      <c r="M166" s="155" t="n">
        <f aca="false">4757.4</f>
        <v>4757.4</v>
      </c>
      <c r="N166" s="156" t="n">
        <f aca="false">2466.8</f>
        <v>2466.8</v>
      </c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 t="s">
        <v>115</v>
      </c>
      <c r="C167" s="56" t="s">
        <v>20</v>
      </c>
      <c r="D167" s="56"/>
      <c r="E167" s="56" t="s">
        <v>116</v>
      </c>
      <c r="F167" s="36"/>
      <c r="G167" s="158" t="s">
        <v>22</v>
      </c>
      <c r="H167" s="159" t="n">
        <v>15</v>
      </c>
      <c r="I167" s="160" t="n">
        <v>14</v>
      </c>
      <c r="J167" s="160" t="n">
        <v>15</v>
      </c>
      <c r="K167" s="161" t="n">
        <v>12404.22</v>
      </c>
      <c r="L167" s="161" t="n">
        <f aca="false">M167+N167</f>
        <v>9503.97</v>
      </c>
      <c r="M167" s="161" t="n">
        <v>6070.98</v>
      </c>
      <c r="N167" s="190" t="n">
        <v>3432.99</v>
      </c>
      <c r="O167" s="163" t="n">
        <v>17</v>
      </c>
      <c r="P167" s="161" t="n">
        <v>40160.31</v>
      </c>
      <c r="Q167" s="161" t="n">
        <f aca="false">R167+S167</f>
        <v>38497.86</v>
      </c>
      <c r="R167" s="161" t="n">
        <v>22208.41</v>
      </c>
      <c r="S167" s="190" t="n">
        <v>16289.45</v>
      </c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54"/>
      <c r="B168" s="55"/>
      <c r="C168" s="55"/>
      <c r="D168" s="55"/>
      <c r="E168" s="55"/>
      <c r="F168" s="42" t="s">
        <v>201</v>
      </c>
      <c r="G168" s="164" t="s">
        <v>26</v>
      </c>
      <c r="H168" s="172" t="n">
        <v>9</v>
      </c>
      <c r="I168" s="165" t="n">
        <v>4</v>
      </c>
      <c r="J168" s="165" t="n">
        <v>4</v>
      </c>
      <c r="K168" s="166" t="n">
        <v>8915.72</v>
      </c>
      <c r="L168" s="161" t="n">
        <f aca="false">M168+N168</f>
        <v>1585.8</v>
      </c>
      <c r="M168" s="166" t="n">
        <v>1585.8</v>
      </c>
      <c r="N168" s="156"/>
      <c r="O168" s="168" t="n">
        <v>8</v>
      </c>
      <c r="P168" s="166" t="n">
        <v>881</v>
      </c>
      <c r="Q168" s="166" t="n">
        <f aca="false">R168+S168</f>
        <v>5286</v>
      </c>
      <c r="R168" s="166" t="n">
        <f aca="false">881+2114.4+2290.6</f>
        <v>5286</v>
      </c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17"/>
      <c r="B169" s="18" t="s">
        <v>157</v>
      </c>
      <c r="C169" s="19"/>
      <c r="D169" s="19"/>
      <c r="E169" s="127"/>
      <c r="F169" s="22"/>
      <c r="G169" s="146" t="s">
        <v>22</v>
      </c>
      <c r="H169" s="147" t="n">
        <v>10</v>
      </c>
      <c r="I169" s="148" t="n">
        <v>5</v>
      </c>
      <c r="J169" s="148" t="n">
        <v>6</v>
      </c>
      <c r="K169" s="149" t="n">
        <v>11119.33</v>
      </c>
      <c r="L169" s="149" t="n">
        <f aca="false">M169+N169</f>
        <v>9520.31</v>
      </c>
      <c r="M169" s="149" t="n">
        <v>3876.4</v>
      </c>
      <c r="N169" s="190" t="n">
        <v>5643.91</v>
      </c>
      <c r="O169" s="151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" hidden="false" customHeight="false" outlineLevel="0" collapsed="false">
      <c r="A170" s="17"/>
      <c r="B170" s="18"/>
      <c r="C170" s="18"/>
      <c r="D170" s="18"/>
      <c r="E170" s="127"/>
      <c r="F170" s="26" t="s">
        <v>202</v>
      </c>
      <c r="G170" s="152" t="s">
        <v>26</v>
      </c>
      <c r="H170" s="176" t="n">
        <v>2</v>
      </c>
      <c r="I170" s="154"/>
      <c r="J170" s="154"/>
      <c r="K170" s="155"/>
      <c r="L170" s="155" t="n">
        <f aca="false">M170+N170</f>
        <v>0</v>
      </c>
      <c r="M170" s="155"/>
      <c r="N170" s="156"/>
      <c r="O170" s="157" t="n">
        <v>2</v>
      </c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true" outlineLevel="0" collapsed="false">
      <c r="A171" s="33"/>
      <c r="B171" s="34" t="s">
        <v>117</v>
      </c>
      <c r="C171" s="35" t="s">
        <v>33</v>
      </c>
      <c r="D171" s="35" t="s">
        <v>118</v>
      </c>
      <c r="E171" s="74" t="s">
        <v>25</v>
      </c>
      <c r="F171" s="89"/>
      <c r="G171" s="158" t="s">
        <v>22</v>
      </c>
      <c r="H171" s="169"/>
      <c r="I171" s="160"/>
      <c r="J171" s="160"/>
      <c r="K171" s="161"/>
      <c r="L171" s="161" t="n">
        <f aca="false">M171+N171</f>
        <v>0</v>
      </c>
      <c r="M171" s="161"/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false" outlineLevel="0" collapsed="false">
      <c r="A172" s="33"/>
      <c r="B172" s="34"/>
      <c r="C172" s="34"/>
      <c r="D172" s="34"/>
      <c r="E172" s="34"/>
      <c r="F172" s="42"/>
      <c r="G172" s="158" t="s">
        <v>23</v>
      </c>
      <c r="H172" s="169"/>
      <c r="I172" s="160"/>
      <c r="J172" s="160"/>
      <c r="K172" s="161"/>
      <c r="L172" s="161" t="n">
        <f aca="false">M172+N172</f>
        <v>0</v>
      </c>
      <c r="M172" s="161"/>
      <c r="N172" s="167"/>
      <c r="O172" s="163" t="n">
        <v>2</v>
      </c>
      <c r="P172" s="161" t="n">
        <v>1762</v>
      </c>
      <c r="Q172" s="161" t="n">
        <v>1762</v>
      </c>
      <c r="R172" s="161" t="n">
        <v>1762</v>
      </c>
      <c r="S172" s="167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false" outlineLevel="0" collapsed="false">
      <c r="A173" s="33"/>
      <c r="B173" s="34"/>
      <c r="C173" s="34"/>
      <c r="D173" s="34"/>
      <c r="E173" s="34"/>
      <c r="F173" s="42"/>
      <c r="G173" s="164" t="s">
        <v>26</v>
      </c>
      <c r="H173" s="153"/>
      <c r="I173" s="165"/>
      <c r="J173" s="165"/>
      <c r="K173" s="166"/>
      <c r="L173" s="166" t="n">
        <f aca="false">M173+N173</f>
        <v>0</v>
      </c>
      <c r="M173" s="166"/>
      <c r="N173" s="156"/>
      <c r="O173" s="168" t="n">
        <v>7</v>
      </c>
      <c r="P173" s="166" t="n">
        <v>4845.5</v>
      </c>
      <c r="Q173" s="166" t="n">
        <f aca="false">R173+S173</f>
        <v>5902.7</v>
      </c>
      <c r="R173" s="166" t="n">
        <f aca="false">1762+1278.41</f>
        <v>3040.41</v>
      </c>
      <c r="S173" s="156" t="n">
        <v>2862.29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119</v>
      </c>
      <c r="C174" s="19" t="s">
        <v>20</v>
      </c>
      <c r="D174" s="19"/>
      <c r="E174" s="19" t="s">
        <v>25</v>
      </c>
      <c r="F174" s="20"/>
      <c r="G174" s="146" t="s">
        <v>22</v>
      </c>
      <c r="H174" s="169"/>
      <c r="I174" s="148"/>
      <c r="J174" s="148"/>
      <c r="K174" s="149"/>
      <c r="L174" s="149" t="n">
        <f aca="false">M174+N174</f>
        <v>0</v>
      </c>
      <c r="M174" s="149"/>
      <c r="N174" s="190"/>
      <c r="O174" s="151" t="n">
        <v>2</v>
      </c>
      <c r="P174" s="149" t="n">
        <v>2643</v>
      </c>
      <c r="Q174" s="149" t="n">
        <f aca="false">R174+S174</f>
        <v>2643</v>
      </c>
      <c r="R174" s="149" t="n">
        <v>2643</v>
      </c>
      <c r="S174" s="19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42" t="s">
        <v>203</v>
      </c>
      <c r="G175" s="164" t="s">
        <v>26</v>
      </c>
      <c r="H175" s="175" t="n">
        <v>4</v>
      </c>
      <c r="I175" s="165" t="n">
        <v>2</v>
      </c>
      <c r="J175" s="165" t="n">
        <v>2</v>
      </c>
      <c r="K175" s="166" t="n">
        <v>1233.4</v>
      </c>
      <c r="L175" s="166" t="n">
        <f aca="false">M175+N175</f>
        <v>1812.59</v>
      </c>
      <c r="M175" s="166" t="n">
        <f aca="false">704.8</f>
        <v>704.8</v>
      </c>
      <c r="N175" s="156" t="n">
        <f aca="false">1107.79</f>
        <v>1107.79</v>
      </c>
      <c r="O175" s="168" t="n">
        <v>3</v>
      </c>
      <c r="P175" s="166" t="n">
        <v>7576.6</v>
      </c>
      <c r="Q175" s="166" t="n">
        <f aca="false">R175+S175</f>
        <v>11226.21</v>
      </c>
      <c r="R175" s="166" t="n">
        <f aca="false">7349.81+50.59</f>
        <v>7400.4</v>
      </c>
      <c r="S175" s="156" t="n">
        <v>3825.81</v>
      </c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17"/>
      <c r="B176" s="18" t="s">
        <v>225</v>
      </c>
      <c r="C176" s="19"/>
      <c r="D176" s="19"/>
      <c r="E176" s="19"/>
      <c r="F176" s="20"/>
      <c r="G176" s="146" t="s">
        <v>22</v>
      </c>
      <c r="H176" s="147"/>
      <c r="I176" s="148"/>
      <c r="J176" s="148"/>
      <c r="K176" s="149"/>
      <c r="L176" s="149" t="n">
        <f aca="false">M176+N176</f>
        <v>0</v>
      </c>
      <c r="M176" s="149"/>
      <c r="N176" s="190"/>
      <c r="O176" s="151"/>
      <c r="P176" s="149"/>
      <c r="Q176" s="149" t="n">
        <f aca="false">R176+S176</f>
        <v>0</v>
      </c>
      <c r="R176" s="149"/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17"/>
      <c r="B177" s="18"/>
      <c r="C177" s="18"/>
      <c r="D177" s="18"/>
      <c r="E177" s="18"/>
      <c r="F177" s="26" t="s">
        <v>244</v>
      </c>
      <c r="G177" s="152" t="s">
        <v>23</v>
      </c>
      <c r="H177" s="176" t="n">
        <v>16</v>
      </c>
      <c r="I177" s="154" t="n">
        <v>11</v>
      </c>
      <c r="J177" s="154" t="n">
        <v>11</v>
      </c>
      <c r="K177" s="155" t="n">
        <v>15020.8</v>
      </c>
      <c r="L177" s="155" t="n">
        <v>2863</v>
      </c>
      <c r="M177" s="155" t="n">
        <v>2863</v>
      </c>
      <c r="N177" s="156"/>
      <c r="O177" s="157"/>
      <c r="P177" s="155"/>
      <c r="Q177" s="155" t="n">
        <f aca="false">R177+S177</f>
        <v>0</v>
      </c>
      <c r="R177" s="155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54"/>
      <c r="B178" s="55" t="s">
        <v>120</v>
      </c>
      <c r="C178" s="56" t="s">
        <v>20</v>
      </c>
      <c r="D178" s="56"/>
      <c r="E178" s="56" t="s">
        <v>25</v>
      </c>
      <c r="F178" s="36"/>
      <c r="G178" s="158" t="s">
        <v>22</v>
      </c>
      <c r="H178" s="169"/>
      <c r="I178" s="160"/>
      <c r="J178" s="160"/>
      <c r="K178" s="161"/>
      <c r="L178" s="161" t="n">
        <f aca="false">M178+N178</f>
        <v>0</v>
      </c>
      <c r="M178" s="161"/>
      <c r="N178" s="190"/>
      <c r="O178" s="163" t="n">
        <v>3</v>
      </c>
      <c r="P178" s="161" t="n">
        <v>3063.78</v>
      </c>
      <c r="Q178" s="161" t="n">
        <f aca="false">R178+S178</f>
        <v>3063.78</v>
      </c>
      <c r="R178" s="161" t="n">
        <v>3063.78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54"/>
      <c r="B179" s="55"/>
      <c r="C179" s="55"/>
      <c r="D179" s="55"/>
      <c r="E179" s="55"/>
      <c r="F179" s="71"/>
      <c r="G179" s="164" t="s">
        <v>26</v>
      </c>
      <c r="H179" s="175"/>
      <c r="I179" s="165"/>
      <c r="J179" s="165"/>
      <c r="K179" s="166"/>
      <c r="L179" s="166" t="n">
        <f aca="false">M179+N179</f>
        <v>0</v>
      </c>
      <c r="M179" s="166"/>
      <c r="N179" s="156"/>
      <c r="O179" s="168"/>
      <c r="P179" s="166"/>
      <c r="Q179" s="166" t="n">
        <f aca="false">R179+S179</f>
        <v>0</v>
      </c>
      <c r="R179" s="166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72"/>
      <c r="B180" s="18" t="s">
        <v>158</v>
      </c>
      <c r="C180" s="74"/>
      <c r="D180" s="56" t="s">
        <v>204</v>
      </c>
      <c r="E180" s="74"/>
      <c r="F180" s="53"/>
      <c r="G180" s="146" t="s">
        <v>22</v>
      </c>
      <c r="H180" s="195"/>
      <c r="I180" s="196"/>
      <c r="J180" s="196"/>
      <c r="K180" s="197"/>
      <c r="L180" s="197" t="n">
        <f aca="false">M180+N180</f>
        <v>0</v>
      </c>
      <c r="M180" s="197"/>
      <c r="N180" s="190"/>
      <c r="O180" s="199"/>
      <c r="P180" s="197"/>
      <c r="Q180" s="197" t="n">
        <f aca="false">R180+S180</f>
        <v>0</v>
      </c>
      <c r="R180" s="197"/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54"/>
      <c r="B181" s="18"/>
      <c r="C181" s="56"/>
      <c r="D181" s="56"/>
      <c r="E181" s="56"/>
      <c r="F181" s="138" t="s">
        <v>205</v>
      </c>
      <c r="G181" s="152" t="s">
        <v>26</v>
      </c>
      <c r="H181" s="153" t="n">
        <v>4</v>
      </c>
      <c r="I181" s="200" t="n">
        <v>2</v>
      </c>
      <c r="J181" s="200" t="n">
        <v>2</v>
      </c>
      <c r="K181" s="201" t="n">
        <v>3524</v>
      </c>
      <c r="L181" s="201" t="n">
        <f aca="false">M181+N181</f>
        <v>0</v>
      </c>
      <c r="M181" s="201"/>
      <c r="N181" s="156"/>
      <c r="O181" s="203"/>
      <c r="P181" s="201"/>
      <c r="Q181" s="201" t="n">
        <f aca="false">R181+S181</f>
        <v>0</v>
      </c>
      <c r="R181" s="201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33"/>
      <c r="B182" s="34" t="s">
        <v>152</v>
      </c>
      <c r="C182" s="35" t="s">
        <v>20</v>
      </c>
      <c r="D182" s="35"/>
      <c r="E182" s="35" t="s">
        <v>25</v>
      </c>
      <c r="F182" s="36"/>
      <c r="G182" s="158" t="s">
        <v>22</v>
      </c>
      <c r="H182" s="169"/>
      <c r="I182" s="160"/>
      <c r="J182" s="160"/>
      <c r="K182" s="161"/>
      <c r="L182" s="161" t="n">
        <f aca="false">M182+N182</f>
        <v>0</v>
      </c>
      <c r="M182" s="161"/>
      <c r="N182" s="190"/>
      <c r="O182" s="163" t="n">
        <v>4</v>
      </c>
      <c r="P182" s="161" t="n">
        <v>7400.4</v>
      </c>
      <c r="Q182" s="161" t="n">
        <f aca="false">R182+S182</f>
        <v>7400.4</v>
      </c>
      <c r="R182" s="161" t="n">
        <v>7400.4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42" t="s">
        <v>206</v>
      </c>
      <c r="G183" s="164" t="s">
        <v>26</v>
      </c>
      <c r="H183" s="171" t="n">
        <v>4</v>
      </c>
      <c r="I183" s="165"/>
      <c r="J183" s="165" t="n">
        <v>1</v>
      </c>
      <c r="K183" s="166" t="n">
        <v>704.8</v>
      </c>
      <c r="L183" s="166" t="n">
        <v>0</v>
      </c>
      <c r="M183" s="166" t="n">
        <v>0</v>
      </c>
      <c r="N183" s="156" t="n">
        <f aca="false">4228.8</f>
        <v>4228.8</v>
      </c>
      <c r="O183" s="168" t="n">
        <v>6</v>
      </c>
      <c r="P183" s="166" t="n">
        <v>7048</v>
      </c>
      <c r="Q183" s="161" t="n">
        <f aca="false">R183+S183</f>
        <v>12950.7</v>
      </c>
      <c r="R183" s="166" t="n">
        <f aca="false">2731.1+4228.8</f>
        <v>6959.9</v>
      </c>
      <c r="S183" s="156" t="n">
        <f aca="false">5990.8</f>
        <v>5990.8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122</v>
      </c>
      <c r="C184" s="19" t="s">
        <v>20</v>
      </c>
      <c r="D184" s="19"/>
      <c r="E184" s="19" t="s">
        <v>116</v>
      </c>
      <c r="F184" s="20"/>
      <c r="G184" s="146" t="s">
        <v>22</v>
      </c>
      <c r="H184" s="159" t="n">
        <v>31</v>
      </c>
      <c r="I184" s="148" t="n">
        <v>27</v>
      </c>
      <c r="J184" s="148" t="n">
        <v>37</v>
      </c>
      <c r="K184" s="149" t="n">
        <v>59889.05</v>
      </c>
      <c r="L184" s="149" t="n">
        <f aca="false">M184+N184</f>
        <v>51516.04</v>
      </c>
      <c r="M184" s="149" t="n">
        <v>32759.12</v>
      </c>
      <c r="N184" s="190" t="n">
        <v>18756.92</v>
      </c>
      <c r="O184" s="151" t="n">
        <v>31</v>
      </c>
      <c r="P184" s="149" t="n">
        <v>112720.04</v>
      </c>
      <c r="Q184" s="149" t="n">
        <f aca="false">R184+S184</f>
        <v>96577.15</v>
      </c>
      <c r="R184" s="149" t="n">
        <v>61568.09</v>
      </c>
      <c r="S184" s="190" t="n">
        <v>35009.06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57"/>
      <c r="G185" s="152" t="s">
        <v>26</v>
      </c>
      <c r="H185" s="153"/>
      <c r="I185" s="154"/>
      <c r="J185" s="154"/>
      <c r="K185" s="155"/>
      <c r="L185" s="155" t="n">
        <f aca="false">M185+N185</f>
        <v>0</v>
      </c>
      <c r="M185" s="155"/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.75" hidden="false" customHeight="true" outlineLevel="0" collapsed="false">
      <c r="A186" s="33"/>
      <c r="B186" s="34" t="s">
        <v>123</v>
      </c>
      <c r="C186" s="35" t="s">
        <v>20</v>
      </c>
      <c r="D186" s="35"/>
      <c r="E186" s="35" t="s">
        <v>25</v>
      </c>
      <c r="F186" s="36"/>
      <c r="G186" s="146" t="s">
        <v>22</v>
      </c>
      <c r="H186" s="159" t="n">
        <v>5</v>
      </c>
      <c r="I186" s="160" t="n">
        <v>4</v>
      </c>
      <c r="J186" s="160" t="n">
        <v>4</v>
      </c>
      <c r="K186" s="161" t="n">
        <v>4193.56</v>
      </c>
      <c r="L186" s="161" t="n">
        <f aca="false">M186+N186</f>
        <v>2255.36</v>
      </c>
      <c r="M186" s="161" t="n">
        <v>2255.36</v>
      </c>
      <c r="N186" s="190"/>
      <c r="O186" s="163" t="n">
        <v>6</v>
      </c>
      <c r="P186" s="161" t="n">
        <v>10868.41</v>
      </c>
      <c r="Q186" s="161" t="n">
        <f aca="false">R186+S186</f>
        <v>10868.41</v>
      </c>
      <c r="R186" s="161" t="n">
        <v>10868.41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207</v>
      </c>
      <c r="G187" s="164" t="s">
        <v>26</v>
      </c>
      <c r="H187" s="153" t="n">
        <v>3</v>
      </c>
      <c r="I187" s="165"/>
      <c r="J187" s="165"/>
      <c r="K187" s="166"/>
      <c r="L187" s="161" t="n">
        <f aca="false">M187+N187</f>
        <v>0</v>
      </c>
      <c r="M187" s="166" t="n">
        <v>0</v>
      </c>
      <c r="N187" s="156"/>
      <c r="O187" s="168" t="n">
        <v>1</v>
      </c>
      <c r="P187" s="166"/>
      <c r="Q187" s="166" t="n">
        <f aca="false">R187+S187</f>
        <v>881</v>
      </c>
      <c r="R187" s="166" t="n">
        <f aca="false">881</f>
        <v>881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17"/>
      <c r="B188" s="18" t="s">
        <v>124</v>
      </c>
      <c r="C188" s="19" t="s">
        <v>20</v>
      </c>
      <c r="D188" s="19"/>
      <c r="E188" s="19" t="s">
        <v>88</v>
      </c>
      <c r="F188" s="20"/>
      <c r="G188" s="146" t="s">
        <v>22</v>
      </c>
      <c r="H188" s="159" t="n">
        <v>14</v>
      </c>
      <c r="I188" s="148" t="n">
        <v>10</v>
      </c>
      <c r="J188" s="148" t="n">
        <v>11</v>
      </c>
      <c r="K188" s="149" t="n">
        <v>21896.56</v>
      </c>
      <c r="L188" s="149" t="n">
        <f aca="false">M188+N188</f>
        <v>5959.27</v>
      </c>
      <c r="M188" s="149" t="n">
        <v>5959.27</v>
      </c>
      <c r="N188" s="190"/>
      <c r="O188" s="151" t="n">
        <v>9</v>
      </c>
      <c r="P188" s="149" t="n">
        <v>21526.95</v>
      </c>
      <c r="Q188" s="149" t="n">
        <f aca="false">R188+S188</f>
        <v>19070.72</v>
      </c>
      <c r="R188" s="149" t="n">
        <v>19070.72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42" t="s">
        <v>245</v>
      </c>
      <c r="G189" s="164" t="s">
        <v>23</v>
      </c>
      <c r="H189" s="172" t="n">
        <v>10</v>
      </c>
      <c r="I189" s="165" t="n">
        <v>2</v>
      </c>
      <c r="J189" s="165" t="n">
        <v>2</v>
      </c>
      <c r="K189" s="166" t="n">
        <v>925.05</v>
      </c>
      <c r="L189" s="166" t="n">
        <v>0</v>
      </c>
      <c r="M189" s="166"/>
      <c r="N189" s="156"/>
      <c r="O189" s="168" t="n">
        <v>7</v>
      </c>
      <c r="P189" s="166" t="n">
        <v>10647.7</v>
      </c>
      <c r="Q189" s="166" t="n">
        <v>8092.8</v>
      </c>
      <c r="R189" s="166" t="n">
        <v>8092.8</v>
      </c>
      <c r="S189" s="156" t="n">
        <v>969.1</v>
      </c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208</v>
      </c>
      <c r="C190" s="19"/>
      <c r="D190" s="19"/>
      <c r="E190" s="127"/>
      <c r="F190" s="20"/>
      <c r="G190" s="146" t="s">
        <v>22</v>
      </c>
      <c r="H190" s="173" t="n">
        <v>30</v>
      </c>
      <c r="I190" s="148" t="n">
        <v>25</v>
      </c>
      <c r="J190" s="148" t="n">
        <v>25</v>
      </c>
      <c r="K190" s="149" t="n">
        <v>31863.12</v>
      </c>
      <c r="L190" s="149" t="n">
        <f aca="false">M190+N190</f>
        <v>30664.96</v>
      </c>
      <c r="M190" s="149" t="n">
        <v>22735.25</v>
      </c>
      <c r="N190" s="190" t="n">
        <v>7929.71</v>
      </c>
      <c r="O190" s="151"/>
      <c r="P190" s="149"/>
      <c r="Q190" s="149" t="n">
        <f aca="false">R190+S190</f>
        <v>0</v>
      </c>
      <c r="R190" s="149"/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28"/>
      <c r="F191" s="26" t="s">
        <v>246</v>
      </c>
      <c r="G191" s="152" t="s">
        <v>23</v>
      </c>
      <c r="H191" s="174" t="n">
        <v>10</v>
      </c>
      <c r="I191" s="154" t="n">
        <v>3</v>
      </c>
      <c r="J191" s="154" t="n">
        <v>3</v>
      </c>
      <c r="K191" s="155" t="n">
        <v>1938.2</v>
      </c>
      <c r="L191" s="155" t="n">
        <f aca="false">M191+N191</f>
        <v>881</v>
      </c>
      <c r="M191" s="155"/>
      <c r="N191" s="156" t="n">
        <v>881</v>
      </c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125</v>
      </c>
      <c r="C192" s="35" t="s">
        <v>33</v>
      </c>
      <c r="D192" s="35" t="s">
        <v>126</v>
      </c>
      <c r="E192" s="35" t="s">
        <v>127</v>
      </c>
      <c r="F192" s="36"/>
      <c r="G192" s="158" t="s">
        <v>22</v>
      </c>
      <c r="H192" s="159" t="n">
        <v>12</v>
      </c>
      <c r="I192" s="160" t="n">
        <v>9</v>
      </c>
      <c r="J192" s="160" t="n">
        <v>11</v>
      </c>
      <c r="K192" s="161" t="n">
        <v>32777.47</v>
      </c>
      <c r="L192" s="161" t="n">
        <f aca="false">M192+N192</f>
        <v>7126.5</v>
      </c>
      <c r="M192" s="161" t="n">
        <v>7126.5</v>
      </c>
      <c r="N192" s="190"/>
      <c r="O192" s="163" t="n">
        <v>14</v>
      </c>
      <c r="P192" s="161" t="n">
        <v>33154.57</v>
      </c>
      <c r="Q192" s="161" t="n">
        <f aca="false">R192+S192</f>
        <v>32035.95</v>
      </c>
      <c r="R192" s="161" t="n">
        <v>32035.95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/>
      <c r="G193" s="164" t="s">
        <v>23</v>
      </c>
      <c r="H193" s="171" t="n">
        <v>31</v>
      </c>
      <c r="I193" s="165" t="n">
        <v>20</v>
      </c>
      <c r="J193" s="165" t="n">
        <v>20</v>
      </c>
      <c r="K193" s="166" t="n">
        <v>44931</v>
      </c>
      <c r="L193" s="166" t="n">
        <v>5109.8</v>
      </c>
      <c r="M193" s="166" t="n">
        <v>5109.8</v>
      </c>
      <c r="N193" s="156" t="n">
        <v>5374.1</v>
      </c>
      <c r="O193" s="168" t="n">
        <v>19</v>
      </c>
      <c r="P193" s="166" t="n">
        <v>45189.9</v>
      </c>
      <c r="Q193" s="166" t="n">
        <v>29425.12</v>
      </c>
      <c r="R193" s="166" t="n">
        <v>29425.12</v>
      </c>
      <c r="S193" s="156" t="n">
        <v>2840.4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" hidden="false" customHeight="true" outlineLevel="0" collapsed="false">
      <c r="A194" s="17"/>
      <c r="B194" s="18" t="s">
        <v>128</v>
      </c>
      <c r="C194" s="19" t="s">
        <v>20</v>
      </c>
      <c r="D194" s="19"/>
      <c r="E194" s="19" t="s">
        <v>25</v>
      </c>
      <c r="F194" s="20"/>
      <c r="G194" s="146" t="s">
        <v>22</v>
      </c>
      <c r="H194" s="159" t="n">
        <v>20</v>
      </c>
      <c r="I194" s="148" t="n">
        <v>11</v>
      </c>
      <c r="J194" s="148" t="n">
        <v>12</v>
      </c>
      <c r="K194" s="149" t="n">
        <v>13365.9</v>
      </c>
      <c r="L194" s="149" t="n">
        <f aca="false">M194+N194</f>
        <v>10868.49</v>
      </c>
      <c r="M194" s="149" t="n">
        <v>10868.49</v>
      </c>
      <c r="N194" s="190"/>
      <c r="O194" s="151" t="n">
        <v>24</v>
      </c>
      <c r="P194" s="149" t="n">
        <v>42740.26</v>
      </c>
      <c r="Q194" s="149" t="n">
        <f aca="false">R194+S194</f>
        <v>42740.26</v>
      </c>
      <c r="R194" s="149" t="n">
        <v>42740.26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71"/>
      <c r="G195" s="164" t="s">
        <v>26</v>
      </c>
      <c r="H195" s="175"/>
      <c r="I195" s="165"/>
      <c r="J195" s="165"/>
      <c r="K195" s="166"/>
      <c r="L195" s="166" t="n">
        <f aca="false">M195+N195</f>
        <v>0</v>
      </c>
      <c r="M195" s="166"/>
      <c r="N195" s="156"/>
      <c r="O195" s="168"/>
      <c r="P195" s="166"/>
      <c r="Q195" s="166" t="n">
        <f aca="false">R195+S195</f>
        <v>0</v>
      </c>
      <c r="R195" s="166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227</v>
      </c>
      <c r="C196" s="19"/>
      <c r="D196" s="19"/>
      <c r="E196" s="19"/>
      <c r="F196" s="20"/>
      <c r="G196" s="204" t="s">
        <v>22</v>
      </c>
      <c r="H196" s="173" t="n">
        <v>5</v>
      </c>
      <c r="I196" s="148" t="n">
        <v>1</v>
      </c>
      <c r="J196" s="148" t="n">
        <v>1</v>
      </c>
      <c r="K196" s="149" t="n">
        <v>621.99</v>
      </c>
      <c r="L196" s="149" t="n">
        <f aca="false">M196+N196</f>
        <v>0</v>
      </c>
      <c r="M196" s="149"/>
      <c r="N196" s="190"/>
      <c r="O196" s="206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57"/>
      <c r="G197" s="207" t="s">
        <v>26</v>
      </c>
      <c r="H197" s="174"/>
      <c r="I197" s="154"/>
      <c r="J197" s="154"/>
      <c r="K197" s="155"/>
      <c r="L197" s="155" t="n">
        <f aca="false">M197+N197</f>
        <v>0</v>
      </c>
      <c r="M197" s="155"/>
      <c r="N197" s="156"/>
      <c r="O197" s="209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129</v>
      </c>
      <c r="C198" s="35" t="s">
        <v>38</v>
      </c>
      <c r="D198" s="35" t="s">
        <v>130</v>
      </c>
      <c r="E198" s="35" t="s">
        <v>25</v>
      </c>
      <c r="F198" s="36"/>
      <c r="G198" s="158" t="s">
        <v>22</v>
      </c>
      <c r="H198" s="159" t="n">
        <v>11</v>
      </c>
      <c r="I198" s="160" t="n">
        <v>10</v>
      </c>
      <c r="J198" s="160" t="n">
        <v>10</v>
      </c>
      <c r="K198" s="161" t="n">
        <v>8519.19</v>
      </c>
      <c r="L198" s="161" t="n">
        <f aca="false">M198+N198</f>
        <v>5680.61</v>
      </c>
      <c r="M198" s="161" t="n">
        <v>5680.61</v>
      </c>
      <c r="N198" s="190"/>
      <c r="O198" s="163" t="n">
        <v>5</v>
      </c>
      <c r="P198" s="161" t="n">
        <v>66458.37</v>
      </c>
      <c r="Q198" s="161" t="n">
        <f aca="false">R198+S198</f>
        <v>44463.45</v>
      </c>
      <c r="R198" s="161" t="n">
        <v>44463.45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 t="s">
        <v>209</v>
      </c>
      <c r="G199" s="164" t="s">
        <v>26</v>
      </c>
      <c r="H199" s="153" t="n">
        <v>5</v>
      </c>
      <c r="I199" s="165" t="n">
        <v>1</v>
      </c>
      <c r="J199" s="165" t="n">
        <v>1</v>
      </c>
      <c r="K199" s="166" t="n">
        <v>1762</v>
      </c>
      <c r="L199" s="161" t="n">
        <f aca="false">M199+N199</f>
        <v>1762</v>
      </c>
      <c r="M199" s="166" t="n">
        <v>0</v>
      </c>
      <c r="N199" s="156" t="n">
        <v>1762</v>
      </c>
      <c r="O199" s="168" t="n">
        <v>7</v>
      </c>
      <c r="P199" s="166" t="n">
        <v>20590.6</v>
      </c>
      <c r="Q199" s="166" t="n">
        <f aca="false">R199+S199</f>
        <v>22040.1</v>
      </c>
      <c r="R199" s="166" t="n">
        <f aca="false">881+881+14612.2+1409.5</f>
        <v>17783.7</v>
      </c>
      <c r="S199" s="167" t="n">
        <f aca="false">4256.4</f>
        <v>4256.4</v>
      </c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6.5" hidden="false" customHeight="true" outlineLevel="0" collapsed="false">
      <c r="A200" s="17"/>
      <c r="B200" s="18" t="s">
        <v>131</v>
      </c>
      <c r="C200" s="19" t="s">
        <v>38</v>
      </c>
      <c r="D200" s="19" t="s">
        <v>130</v>
      </c>
      <c r="E200" s="19" t="s">
        <v>25</v>
      </c>
      <c r="F200" s="20"/>
      <c r="G200" s="146" t="s">
        <v>22</v>
      </c>
      <c r="H200" s="159" t="n">
        <v>10</v>
      </c>
      <c r="I200" s="148" t="n">
        <v>8</v>
      </c>
      <c r="J200" s="148" t="n">
        <v>13</v>
      </c>
      <c r="K200" s="149" t="n">
        <v>31320.86</v>
      </c>
      <c r="L200" s="149" t="n">
        <f aca="false">M200+N200</f>
        <v>25996.1</v>
      </c>
      <c r="M200" s="149" t="n">
        <v>25996.1</v>
      </c>
      <c r="N200" s="190"/>
      <c r="O200" s="151" t="n">
        <v>16</v>
      </c>
      <c r="P200" s="149" t="n">
        <v>159038.28</v>
      </c>
      <c r="Q200" s="149" t="n">
        <f aca="false">R200+S200</f>
        <v>58274.05</v>
      </c>
      <c r="R200" s="149" t="n">
        <v>58274.05</v>
      </c>
      <c r="S200" s="198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6.5" hidden="false" customHeight="true" outlineLevel="0" collapsed="false">
      <c r="A201" s="17"/>
      <c r="B201" s="18"/>
      <c r="C201" s="18"/>
      <c r="D201" s="18"/>
      <c r="E201" s="18"/>
      <c r="F201" s="26" t="s">
        <v>210</v>
      </c>
      <c r="G201" s="152" t="s">
        <v>26</v>
      </c>
      <c r="H201" s="153" t="n">
        <v>4</v>
      </c>
      <c r="I201" s="154" t="n">
        <v>3</v>
      </c>
      <c r="J201" s="154" t="n">
        <v>3</v>
      </c>
      <c r="K201" s="155" t="n">
        <v>2114.4</v>
      </c>
      <c r="L201" s="155" t="n">
        <f aca="false">M201+N201</f>
        <v>2114.4</v>
      </c>
      <c r="M201" s="155" t="n">
        <f aca="false">1585.8</f>
        <v>1585.8</v>
      </c>
      <c r="N201" s="156" t="n">
        <v>528.6</v>
      </c>
      <c r="O201" s="157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33"/>
      <c r="B202" s="34" t="s">
        <v>132</v>
      </c>
      <c r="C202" s="35" t="s">
        <v>20</v>
      </c>
      <c r="D202" s="35"/>
      <c r="E202" s="35" t="s">
        <v>69</v>
      </c>
      <c r="F202" s="38"/>
      <c r="G202" s="146" t="s">
        <v>22</v>
      </c>
      <c r="H202" s="159" t="n">
        <v>12</v>
      </c>
      <c r="I202" s="160" t="n">
        <v>7</v>
      </c>
      <c r="J202" s="160" t="n">
        <v>11</v>
      </c>
      <c r="K202" s="161" t="n">
        <v>23368.97</v>
      </c>
      <c r="L202" s="161" t="n">
        <f aca="false">M202+N202</f>
        <v>23368.97</v>
      </c>
      <c r="M202" s="161" t="n">
        <v>23368.97</v>
      </c>
      <c r="N202" s="190"/>
      <c r="O202" s="163" t="n">
        <v>13</v>
      </c>
      <c r="P202" s="161" t="n">
        <v>43004.3</v>
      </c>
      <c r="Q202" s="161" t="n">
        <f aca="false">R202+S202</f>
        <v>39943.71</v>
      </c>
      <c r="R202" s="161" t="n">
        <v>28827.93</v>
      </c>
      <c r="S202" s="190" t="n">
        <v>11115.78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33"/>
      <c r="B203" s="34"/>
      <c r="C203" s="34"/>
      <c r="D203" s="34"/>
      <c r="E203" s="34"/>
      <c r="F203" s="42" t="s">
        <v>211</v>
      </c>
      <c r="G203" s="164" t="s">
        <v>26</v>
      </c>
      <c r="H203" s="153" t="n">
        <v>8</v>
      </c>
      <c r="I203" s="165" t="n">
        <v>3</v>
      </c>
      <c r="J203" s="165" t="n">
        <v>3</v>
      </c>
      <c r="K203" s="166" t="n">
        <v>10184.36</v>
      </c>
      <c r="L203" s="166" t="n">
        <f aca="false">M203+N203</f>
        <v>0</v>
      </c>
      <c r="M203" s="166"/>
      <c r="N203" s="156"/>
      <c r="O203" s="168" t="n">
        <v>1</v>
      </c>
      <c r="P203" s="166" t="n">
        <v>3700.2</v>
      </c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72"/>
      <c r="B204" s="73" t="s">
        <v>133</v>
      </c>
      <c r="C204" s="74" t="s">
        <v>20</v>
      </c>
      <c r="D204" s="74"/>
      <c r="E204" s="74" t="s">
        <v>25</v>
      </c>
      <c r="F204" s="22"/>
      <c r="G204" s="146" t="s">
        <v>22</v>
      </c>
      <c r="H204" s="159" t="n">
        <v>4</v>
      </c>
      <c r="I204" s="148" t="n">
        <v>4</v>
      </c>
      <c r="J204" s="148" t="n">
        <v>5</v>
      </c>
      <c r="K204" s="149" t="n">
        <v>7984.73</v>
      </c>
      <c r="L204" s="149" t="n">
        <f aca="false">M204+N204</f>
        <v>7984.73</v>
      </c>
      <c r="M204" s="149" t="n">
        <v>2784.03</v>
      </c>
      <c r="N204" s="190" t="n">
        <v>5200.7</v>
      </c>
      <c r="O204" s="151" t="n">
        <v>2</v>
      </c>
      <c r="P204" s="149" t="n">
        <v>4329.79</v>
      </c>
      <c r="Q204" s="149" t="n">
        <f aca="false">R204+S204</f>
        <v>4329.79</v>
      </c>
      <c r="R204" s="149" t="n">
        <v>4329.79</v>
      </c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72"/>
      <c r="B205" s="73"/>
      <c r="C205" s="73"/>
      <c r="D205" s="73"/>
      <c r="E205" s="73"/>
      <c r="F205" s="42" t="s">
        <v>212</v>
      </c>
      <c r="G205" s="164" t="s">
        <v>26</v>
      </c>
      <c r="H205" s="171" t="n">
        <v>4</v>
      </c>
      <c r="I205" s="165" t="n">
        <v>1</v>
      </c>
      <c r="J205" s="165" t="n">
        <v>1</v>
      </c>
      <c r="K205" s="166" t="n">
        <v>1409.6</v>
      </c>
      <c r="L205" s="166" t="n">
        <f aca="false">M205+N205</f>
        <v>1409.6</v>
      </c>
      <c r="M205" s="166" t="n">
        <f aca="false">1409.6</f>
        <v>1409.6</v>
      </c>
      <c r="N205" s="156"/>
      <c r="O205" s="168" t="n">
        <v>2</v>
      </c>
      <c r="P205" s="166" t="n">
        <v>1321.5</v>
      </c>
      <c r="Q205" s="166" t="n">
        <f aca="false">R205+S205</f>
        <v>2907.3</v>
      </c>
      <c r="R205" s="166" t="n">
        <f aca="false">1321.5</f>
        <v>1321.5</v>
      </c>
      <c r="S205" s="156" t="n">
        <v>1585.8</v>
      </c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72"/>
      <c r="B206" s="73" t="s">
        <v>134</v>
      </c>
      <c r="C206" s="74" t="s">
        <v>20</v>
      </c>
      <c r="D206" s="74"/>
      <c r="E206" s="74" t="s">
        <v>25</v>
      </c>
      <c r="F206" s="20"/>
      <c r="G206" s="146" t="s">
        <v>22</v>
      </c>
      <c r="H206" s="169"/>
      <c r="I206" s="148"/>
      <c r="J206" s="148"/>
      <c r="K206" s="149"/>
      <c r="L206" s="149" t="n">
        <f aca="false">M206+N206</f>
        <v>0</v>
      </c>
      <c r="M206" s="149"/>
      <c r="N206" s="190"/>
      <c r="O206" s="151" t="n">
        <v>1</v>
      </c>
      <c r="P206" s="149" t="n">
        <v>13019.26</v>
      </c>
      <c r="Q206" s="149" t="n">
        <f aca="false">R206+S206</f>
        <v>13019.26</v>
      </c>
      <c r="R206" s="149" t="n">
        <v>13019.26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72"/>
      <c r="B207" s="73"/>
      <c r="C207" s="73"/>
      <c r="D207" s="73"/>
      <c r="E207" s="73"/>
      <c r="F207" s="42" t="s">
        <v>213</v>
      </c>
      <c r="G207" s="164" t="s">
        <v>26</v>
      </c>
      <c r="H207" s="153" t="n">
        <v>3</v>
      </c>
      <c r="I207" s="165"/>
      <c r="J207" s="165"/>
      <c r="K207" s="166"/>
      <c r="L207" s="166" t="n">
        <f aca="false">M207+N207</f>
        <v>0</v>
      </c>
      <c r="M207" s="166"/>
      <c r="N207" s="156"/>
      <c r="O207" s="168" t="n">
        <v>6</v>
      </c>
      <c r="P207" s="166" t="n">
        <v>23840.15</v>
      </c>
      <c r="Q207" s="166" t="n">
        <f aca="false">R207+S207</f>
        <v>28509.42</v>
      </c>
      <c r="R207" s="166" t="n">
        <f aca="false">19875.62</f>
        <v>19875.62</v>
      </c>
      <c r="S207" s="156" t="n">
        <f aca="false">8633.8</f>
        <v>8633.8</v>
      </c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" hidden="false" customHeight="true" outlineLevel="0" collapsed="false">
      <c r="A208" s="17"/>
      <c r="B208" s="18" t="s">
        <v>135</v>
      </c>
      <c r="C208" s="19" t="s">
        <v>20</v>
      </c>
      <c r="D208" s="19"/>
      <c r="E208" s="19" t="s">
        <v>69</v>
      </c>
      <c r="F208" s="22"/>
      <c r="G208" s="146" t="s">
        <v>22</v>
      </c>
      <c r="H208" s="159" t="n">
        <v>13</v>
      </c>
      <c r="I208" s="148" t="n">
        <v>5</v>
      </c>
      <c r="J208" s="148" t="n">
        <v>6</v>
      </c>
      <c r="K208" s="149" t="n">
        <v>11463.36</v>
      </c>
      <c r="L208" s="149" t="n">
        <f aca="false">M208+N208</f>
        <v>5321.24</v>
      </c>
      <c r="M208" s="149" t="n">
        <v>4158.32</v>
      </c>
      <c r="N208" s="190" t="n">
        <v>1162.92</v>
      </c>
      <c r="O208" s="151" t="n">
        <v>13</v>
      </c>
      <c r="P208" s="149" t="n">
        <v>42132.95</v>
      </c>
      <c r="Q208" s="149" t="n">
        <f aca="false">R208+S208</f>
        <v>42132.95</v>
      </c>
      <c r="R208" s="149" t="n">
        <v>16446.2</v>
      </c>
      <c r="S208" s="190" t="n">
        <v>25686.75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 t="s">
        <v>277</v>
      </c>
      <c r="G209" s="152" t="s">
        <v>26</v>
      </c>
      <c r="H209" s="171" t="n">
        <v>6</v>
      </c>
      <c r="I209" s="154"/>
      <c r="J209" s="154" t="n">
        <v>2</v>
      </c>
      <c r="K209" s="155" t="n">
        <v>1409.6</v>
      </c>
      <c r="L209" s="155" t="n">
        <f aca="false">M209+N209</f>
        <v>0</v>
      </c>
      <c r="M209" s="155"/>
      <c r="N209" s="156"/>
      <c r="O209" s="157" t="n">
        <v>2</v>
      </c>
      <c r="P209" s="155" t="n">
        <v>2292.9</v>
      </c>
      <c r="Q209" s="155" t="n">
        <f aca="false">R209+S209</f>
        <v>792.9</v>
      </c>
      <c r="R209" s="155" t="n">
        <f aca="false">792.9</f>
        <v>792.9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.75" hidden="false" customHeight="true" outlineLevel="0" collapsed="false">
      <c r="A210" s="33"/>
      <c r="B210" s="34" t="s">
        <v>136</v>
      </c>
      <c r="C210" s="35" t="s">
        <v>20</v>
      </c>
      <c r="D210" s="35"/>
      <c r="E210" s="35" t="s">
        <v>98</v>
      </c>
      <c r="F210" s="36"/>
      <c r="G210" s="146" t="s">
        <v>22</v>
      </c>
      <c r="H210" s="159" t="n">
        <v>21</v>
      </c>
      <c r="I210" s="160" t="n">
        <v>14</v>
      </c>
      <c r="J210" s="160" t="n">
        <v>21</v>
      </c>
      <c r="K210" s="161" t="n">
        <v>39745.81</v>
      </c>
      <c r="L210" s="161" t="n">
        <f aca="false">M210+N210</f>
        <v>27069.8</v>
      </c>
      <c r="M210" s="161" t="n">
        <v>20218.61</v>
      </c>
      <c r="N210" s="190" t="n">
        <v>6851.19</v>
      </c>
      <c r="O210" s="163" t="n">
        <v>11</v>
      </c>
      <c r="P210" s="161" t="n">
        <v>23371.27</v>
      </c>
      <c r="Q210" s="161" t="n">
        <f aca="false">R210+S210</f>
        <v>14877.54</v>
      </c>
      <c r="R210" s="161" t="n">
        <v>14877.54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33"/>
      <c r="B211" s="34"/>
      <c r="C211" s="34"/>
      <c r="D211" s="34"/>
      <c r="E211" s="34"/>
      <c r="F211" s="42" t="s">
        <v>247</v>
      </c>
      <c r="G211" s="164" t="s">
        <v>23</v>
      </c>
      <c r="H211" s="171" t="n">
        <v>6</v>
      </c>
      <c r="I211" s="165" t="n">
        <v>6</v>
      </c>
      <c r="J211" s="165" t="n">
        <v>6</v>
      </c>
      <c r="K211" s="166" t="n">
        <v>4581.2</v>
      </c>
      <c r="L211" s="166" t="n">
        <f aca="false">M211+N211</f>
        <v>4052.6</v>
      </c>
      <c r="M211" s="166" t="n">
        <v>4052.6</v>
      </c>
      <c r="N211" s="156"/>
      <c r="O211" s="168" t="n">
        <v>8</v>
      </c>
      <c r="P211" s="166" t="n">
        <v>15505.6</v>
      </c>
      <c r="Q211" s="166" t="n">
        <v>5638.4</v>
      </c>
      <c r="R211" s="166" t="n">
        <v>5638.4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17"/>
      <c r="B212" s="18" t="s">
        <v>137</v>
      </c>
      <c r="C212" s="19" t="s">
        <v>20</v>
      </c>
      <c r="D212" s="19"/>
      <c r="E212" s="19" t="s">
        <v>25</v>
      </c>
      <c r="F212" s="20"/>
      <c r="G212" s="146" t="s">
        <v>22</v>
      </c>
      <c r="H212" s="169"/>
      <c r="I212" s="148"/>
      <c r="J212" s="148"/>
      <c r="K212" s="149"/>
      <c r="L212" s="149" t="n">
        <f aca="false">M212+N212</f>
        <v>0</v>
      </c>
      <c r="M212" s="149"/>
      <c r="N212" s="190"/>
      <c r="O212" s="151"/>
      <c r="P212" s="149"/>
      <c r="Q212" s="149" t="n">
        <f aca="false">R212+S212</f>
        <v>0</v>
      </c>
      <c r="R212" s="149"/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20.25" hidden="false" customHeight="true" outlineLevel="0" collapsed="false">
      <c r="A213" s="17"/>
      <c r="B213" s="18"/>
      <c r="C213" s="18"/>
      <c r="D213" s="18"/>
      <c r="E213" s="18"/>
      <c r="F213" s="26" t="s">
        <v>286</v>
      </c>
      <c r="G213" s="152" t="s">
        <v>26</v>
      </c>
      <c r="H213" s="153" t="n">
        <v>9</v>
      </c>
      <c r="I213" s="154" t="n">
        <v>1</v>
      </c>
      <c r="J213" s="154" t="n">
        <v>1</v>
      </c>
      <c r="K213" s="155" t="n">
        <v>1938.2</v>
      </c>
      <c r="L213" s="155" t="n">
        <f aca="false">M213+N213</f>
        <v>0</v>
      </c>
      <c r="M213" s="155"/>
      <c r="N213" s="156"/>
      <c r="O213" s="157"/>
      <c r="P213" s="155"/>
      <c r="Q213" s="155" t="n">
        <f aca="false">R213+S213</f>
        <v>0</v>
      </c>
      <c r="R213" s="155"/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54"/>
      <c r="B214" s="55" t="s">
        <v>138</v>
      </c>
      <c r="C214" s="56" t="s">
        <v>33</v>
      </c>
      <c r="D214" s="56" t="s">
        <v>139</v>
      </c>
      <c r="E214" s="56" t="s">
        <v>25</v>
      </c>
      <c r="F214" s="36"/>
      <c r="G214" s="146" t="s">
        <v>22</v>
      </c>
      <c r="H214" s="169"/>
      <c r="I214" s="160"/>
      <c r="J214" s="160"/>
      <c r="K214" s="161"/>
      <c r="L214" s="161" t="n">
        <f aca="false">M214+N214</f>
        <v>0</v>
      </c>
      <c r="M214" s="161"/>
      <c r="N214" s="190"/>
      <c r="O214" s="163"/>
      <c r="P214" s="161"/>
      <c r="Q214" s="161" t="n">
        <f aca="false">R214+S214</f>
        <v>0</v>
      </c>
      <c r="R214" s="161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54"/>
      <c r="B215" s="55"/>
      <c r="C215" s="55"/>
      <c r="D215" s="55"/>
      <c r="E215" s="55"/>
      <c r="F215" s="26" t="s">
        <v>214</v>
      </c>
      <c r="G215" s="152" t="s">
        <v>26</v>
      </c>
      <c r="H215" s="171" t="n">
        <v>5</v>
      </c>
      <c r="I215" s="154" t="n">
        <v>2</v>
      </c>
      <c r="J215" s="154" t="n">
        <v>2</v>
      </c>
      <c r="K215" s="155" t="n">
        <v>4158.32</v>
      </c>
      <c r="L215" s="155" t="n">
        <f aca="false">M215+N215</f>
        <v>4158.32</v>
      </c>
      <c r="M215" s="155" t="n">
        <f aca="false">2466.8</f>
        <v>2466.8</v>
      </c>
      <c r="N215" s="156" t="n">
        <f aca="false">1691.52</f>
        <v>1691.52</v>
      </c>
      <c r="O215" s="157"/>
      <c r="P215" s="155"/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33"/>
      <c r="B216" s="34" t="s">
        <v>140</v>
      </c>
      <c r="C216" s="35" t="s">
        <v>20</v>
      </c>
      <c r="D216" s="35"/>
      <c r="E216" s="35" t="s">
        <v>141</v>
      </c>
      <c r="F216" s="36"/>
      <c r="G216" s="146" t="s">
        <v>22</v>
      </c>
      <c r="H216" s="159" t="n">
        <v>15</v>
      </c>
      <c r="I216" s="160" t="n">
        <v>13</v>
      </c>
      <c r="J216" s="160" t="n">
        <v>17</v>
      </c>
      <c r="K216" s="161" t="n">
        <v>22437.75</v>
      </c>
      <c r="L216" s="161" t="n">
        <f aca="false">M216+N216</f>
        <v>16759.36</v>
      </c>
      <c r="M216" s="161" t="n">
        <v>13067.09</v>
      </c>
      <c r="N216" s="190" t="n">
        <v>3692.27</v>
      </c>
      <c r="O216" s="163" t="n">
        <v>11</v>
      </c>
      <c r="P216" s="161" t="n">
        <v>65251.23</v>
      </c>
      <c r="Q216" s="161" t="n">
        <f aca="false">R216+S216</f>
        <v>65251.23</v>
      </c>
      <c r="R216" s="161" t="n">
        <v>24064.99</v>
      </c>
      <c r="S216" s="190" t="n">
        <v>41186.24</v>
      </c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33"/>
      <c r="B217" s="34"/>
      <c r="C217" s="34"/>
      <c r="D217" s="34"/>
      <c r="E217" s="34"/>
      <c r="F217" s="42" t="s">
        <v>215</v>
      </c>
      <c r="G217" s="164" t="s">
        <v>26</v>
      </c>
      <c r="H217" s="175" t="n">
        <v>2</v>
      </c>
      <c r="I217" s="165"/>
      <c r="J217" s="165"/>
      <c r="K217" s="166"/>
      <c r="L217" s="166" t="n">
        <f aca="false">M217+N217</f>
        <v>0</v>
      </c>
      <c r="M217" s="166"/>
      <c r="N217" s="156"/>
      <c r="O217" s="168"/>
      <c r="P217" s="166"/>
      <c r="Q217" s="166" t="n">
        <f aca="false">R217+S217</f>
        <v>0</v>
      </c>
      <c r="R217" s="166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17"/>
      <c r="B218" s="18" t="s">
        <v>251</v>
      </c>
      <c r="C218" s="19" t="s">
        <v>20</v>
      </c>
      <c r="D218" s="19"/>
      <c r="E218" s="19" t="s">
        <v>116</v>
      </c>
      <c r="F218" s="20"/>
      <c r="G218" s="146" t="s">
        <v>22</v>
      </c>
      <c r="H218" s="173" t="n">
        <v>5</v>
      </c>
      <c r="I218" s="148" t="n">
        <v>3</v>
      </c>
      <c r="J218" s="148" t="n">
        <v>3</v>
      </c>
      <c r="K218" s="149" t="n">
        <v>3851.92</v>
      </c>
      <c r="L218" s="166" t="n">
        <f aca="false">M218+N218</f>
        <v>3851.92</v>
      </c>
      <c r="M218" s="149"/>
      <c r="N218" s="190" t="n">
        <v>3851.92</v>
      </c>
      <c r="O218" s="206"/>
      <c r="P218" s="149"/>
      <c r="Q218" s="149"/>
      <c r="R218" s="149"/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252</v>
      </c>
      <c r="G219" s="152" t="s">
        <v>26</v>
      </c>
      <c r="H219" s="174" t="n">
        <v>7</v>
      </c>
      <c r="I219" s="154"/>
      <c r="J219" s="154"/>
      <c r="K219" s="155"/>
      <c r="L219" s="166" t="n">
        <f aca="false">M219+N219</f>
        <v>0</v>
      </c>
      <c r="M219" s="155"/>
      <c r="N219" s="156"/>
      <c r="O219" s="209"/>
      <c r="P219" s="155"/>
      <c r="Q219" s="155"/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54"/>
      <c r="B220" s="55" t="s">
        <v>142</v>
      </c>
      <c r="C220" s="56" t="s">
        <v>20</v>
      </c>
      <c r="D220" s="56"/>
      <c r="E220" s="56" t="s">
        <v>25</v>
      </c>
      <c r="F220" s="36"/>
      <c r="G220" s="158" t="s">
        <v>22</v>
      </c>
      <c r="H220" s="173" t="n">
        <v>5</v>
      </c>
      <c r="I220" s="148" t="n">
        <v>4</v>
      </c>
      <c r="J220" s="148" t="n">
        <v>4</v>
      </c>
      <c r="K220" s="149" t="n">
        <v>3418.28</v>
      </c>
      <c r="L220" s="149" t="n">
        <f aca="false">M220+N220</f>
        <v>3418.28</v>
      </c>
      <c r="M220" s="149" t="n">
        <v>1656.28</v>
      </c>
      <c r="N220" s="190" t="n">
        <v>1762</v>
      </c>
      <c r="O220" s="228" t="n">
        <v>6</v>
      </c>
      <c r="P220" s="161" t="n">
        <v>10969.43</v>
      </c>
      <c r="Q220" s="161" t="n">
        <f aca="false">R220+S220</f>
        <v>8844.46</v>
      </c>
      <c r="R220" s="161" t="n">
        <v>3342.51</v>
      </c>
      <c r="S220" s="190" t="n">
        <v>5501.95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54"/>
      <c r="B221" s="55"/>
      <c r="C221" s="55"/>
      <c r="D221" s="55"/>
      <c r="E221" s="55"/>
      <c r="F221" s="42" t="s">
        <v>216</v>
      </c>
      <c r="G221" s="164" t="s">
        <v>26</v>
      </c>
      <c r="H221" s="177" t="n">
        <v>7</v>
      </c>
      <c r="I221" s="165" t="n">
        <v>3</v>
      </c>
      <c r="J221" s="165" t="n">
        <v>3</v>
      </c>
      <c r="K221" s="166" t="n">
        <v>5990.8</v>
      </c>
      <c r="L221" s="166" t="n">
        <f aca="false">M221+N221</f>
        <v>5990.8</v>
      </c>
      <c r="M221" s="166" t="n">
        <v>5167.21</v>
      </c>
      <c r="N221" s="167" t="n">
        <v>823.59</v>
      </c>
      <c r="O221" s="238" t="n">
        <v>12</v>
      </c>
      <c r="P221" s="166" t="n">
        <v>7343.2</v>
      </c>
      <c r="Q221" s="166" t="n">
        <f aca="false">R221+S221</f>
        <v>8633.8</v>
      </c>
      <c r="R221" s="166" t="n">
        <f aca="false">823.59+1233.4+2819.2</f>
        <v>4876.19</v>
      </c>
      <c r="S221" s="167" t="n">
        <f aca="false">3757.61</f>
        <v>3757.61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287</v>
      </c>
      <c r="C222" s="56" t="s">
        <v>20</v>
      </c>
      <c r="D222" s="19"/>
      <c r="E222" s="56" t="s">
        <v>25</v>
      </c>
      <c r="F222" s="20"/>
      <c r="G222" s="146" t="s">
        <v>22</v>
      </c>
      <c r="H222" s="147"/>
      <c r="I222" s="148"/>
      <c r="J222" s="148"/>
      <c r="K222" s="149"/>
      <c r="L222" s="149" t="n">
        <f aca="false">M222+N222</f>
        <v>0</v>
      </c>
      <c r="M222" s="149"/>
      <c r="N222" s="150"/>
      <c r="O222" s="206"/>
      <c r="P222" s="149"/>
      <c r="Q222" s="149" t="n">
        <f aca="false">R222+S222</f>
        <v>0</v>
      </c>
      <c r="R222" s="149"/>
      <c r="S222" s="15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288</v>
      </c>
      <c r="G223" s="152" t="s">
        <v>26</v>
      </c>
      <c r="H223" s="176" t="n">
        <v>3</v>
      </c>
      <c r="I223" s="154" t="n">
        <v>3</v>
      </c>
      <c r="J223" s="154" t="n">
        <v>3</v>
      </c>
      <c r="K223" s="155" t="n">
        <v>3171.6</v>
      </c>
      <c r="L223" s="155" t="n">
        <f aca="false">M223+N223</f>
        <v>3171.6</v>
      </c>
      <c r="M223" s="155"/>
      <c r="N223" s="156" t="n">
        <f aca="false">3171.6</f>
        <v>3171.6</v>
      </c>
      <c r="O223" s="209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33"/>
      <c r="B224" s="34" t="s">
        <v>143</v>
      </c>
      <c r="C224" s="35" t="s">
        <v>20</v>
      </c>
      <c r="D224" s="35"/>
      <c r="E224" s="35" t="s">
        <v>25</v>
      </c>
      <c r="F224" s="36"/>
      <c r="G224" s="158" t="s">
        <v>22</v>
      </c>
      <c r="H224" s="169" t="n">
        <v>1</v>
      </c>
      <c r="I224" s="160"/>
      <c r="J224" s="160"/>
      <c r="K224" s="161"/>
      <c r="L224" s="161" t="n">
        <f aca="false">M224+N224</f>
        <v>0</v>
      </c>
      <c r="M224" s="161"/>
      <c r="N224" s="190"/>
      <c r="O224" s="163" t="n">
        <v>1</v>
      </c>
      <c r="P224" s="161" t="n">
        <v>1515.67</v>
      </c>
      <c r="Q224" s="161" t="n">
        <f aca="false">R224+S224</f>
        <v>1515.67</v>
      </c>
      <c r="R224" s="161" t="n">
        <v>1515.67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217</v>
      </c>
      <c r="G225" s="164" t="s">
        <v>26</v>
      </c>
      <c r="H225" s="171" t="n">
        <v>7</v>
      </c>
      <c r="I225" s="165"/>
      <c r="J225" s="165"/>
      <c r="K225" s="166"/>
      <c r="L225" s="166" t="n">
        <f aca="false">M225+N225</f>
        <v>704.8</v>
      </c>
      <c r="M225" s="166" t="n">
        <f aca="false">704.8</f>
        <v>704.8</v>
      </c>
      <c r="N225" s="156"/>
      <c r="O225" s="168" t="n">
        <v>6</v>
      </c>
      <c r="P225" s="166" t="n">
        <v>34775.2</v>
      </c>
      <c r="Q225" s="166" t="n">
        <f aca="false">R225+S225</f>
        <v>21496.4</v>
      </c>
      <c r="R225" s="166" t="n">
        <f aca="false">704.8+13038.8</f>
        <v>13743.6</v>
      </c>
      <c r="S225" s="156" t="n">
        <v>7752.8</v>
      </c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144</v>
      </c>
      <c r="C226" s="19" t="s">
        <v>20</v>
      </c>
      <c r="D226" s="19"/>
      <c r="E226" s="19" t="s">
        <v>81</v>
      </c>
      <c r="F226" s="20"/>
      <c r="G226" s="146" t="s">
        <v>22</v>
      </c>
      <c r="H226" s="159" t="n">
        <v>11</v>
      </c>
      <c r="I226" s="148" t="n">
        <v>7</v>
      </c>
      <c r="J226" s="148" t="n">
        <v>7</v>
      </c>
      <c r="K226" s="149" t="n">
        <v>6542.31</v>
      </c>
      <c r="L226" s="149" t="n">
        <f aca="false">M226+N226</f>
        <v>7588.94</v>
      </c>
      <c r="M226" s="149" t="n">
        <v>2096.78</v>
      </c>
      <c r="N226" s="190" t="n">
        <v>5492.16</v>
      </c>
      <c r="O226" s="151" t="n">
        <v>5</v>
      </c>
      <c r="P226" s="149" t="n">
        <v>16284.3</v>
      </c>
      <c r="Q226" s="149" t="n">
        <f aca="false">R226+S226</f>
        <v>16284.3</v>
      </c>
      <c r="R226" s="149" t="n">
        <v>3636.77</v>
      </c>
      <c r="S226" s="190" t="n">
        <v>12647.53</v>
      </c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218</v>
      </c>
      <c r="G227" s="152" t="s">
        <v>26</v>
      </c>
      <c r="H227" s="171" t="n">
        <v>6</v>
      </c>
      <c r="I227" s="154" t="n">
        <v>2</v>
      </c>
      <c r="J227" s="154" t="n">
        <v>2</v>
      </c>
      <c r="K227" s="155" t="n">
        <v>4052.6</v>
      </c>
      <c r="L227" s="155" t="n">
        <f aca="false">M227+N227</f>
        <v>4052.6</v>
      </c>
      <c r="M227" s="155" t="n">
        <f aca="false">4052.6</f>
        <v>4052.6</v>
      </c>
      <c r="N227" s="156"/>
      <c r="O227" s="157" t="n">
        <v>2</v>
      </c>
      <c r="P227" s="155" t="n">
        <v>4493.1</v>
      </c>
      <c r="Q227" s="155" t="n">
        <f aca="false">R227+S227</f>
        <v>4493.1</v>
      </c>
      <c r="R227" s="155" t="n">
        <f aca="false">4493.1</f>
        <v>4493.1</v>
      </c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34" t="s">
        <v>145</v>
      </c>
      <c r="C228" s="35" t="s">
        <v>20</v>
      </c>
      <c r="D228" s="35"/>
      <c r="E228" s="35" t="s">
        <v>98</v>
      </c>
      <c r="F228" s="36"/>
      <c r="G228" s="146" t="s">
        <v>22</v>
      </c>
      <c r="H228" s="169"/>
      <c r="I228" s="160"/>
      <c r="J228" s="160"/>
      <c r="K228" s="161"/>
      <c r="L228" s="161" t="n">
        <f aca="false">M228+N228</f>
        <v>0</v>
      </c>
      <c r="M228" s="161"/>
      <c r="N228" s="190"/>
      <c r="O228" s="163"/>
      <c r="P228" s="161"/>
      <c r="Q228" s="161" t="n">
        <f aca="false">R228+S228</f>
        <v>0</v>
      </c>
      <c r="R228" s="161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34"/>
      <c r="C229" s="34"/>
      <c r="D229" s="34"/>
      <c r="E229" s="34"/>
      <c r="F229" s="71"/>
      <c r="G229" s="164" t="s">
        <v>23</v>
      </c>
      <c r="H229" s="175"/>
      <c r="I229" s="165"/>
      <c r="J229" s="165"/>
      <c r="K229" s="166"/>
      <c r="L229" s="166" t="n">
        <f aca="false">M229+N229</f>
        <v>0</v>
      </c>
      <c r="M229" s="166"/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17"/>
      <c r="B230" s="18" t="s">
        <v>146</v>
      </c>
      <c r="C230" s="19" t="s">
        <v>20</v>
      </c>
      <c r="D230" s="19"/>
      <c r="E230" s="19" t="s">
        <v>25</v>
      </c>
      <c r="F230" s="22"/>
      <c r="G230" s="146" t="s">
        <v>22</v>
      </c>
      <c r="H230" s="173" t="n">
        <v>11</v>
      </c>
      <c r="I230" s="148" t="n">
        <v>7</v>
      </c>
      <c r="J230" s="148" t="n">
        <v>9</v>
      </c>
      <c r="K230" s="149" t="n">
        <v>10138.98</v>
      </c>
      <c r="L230" s="149" t="n">
        <f aca="false">M230+N230</f>
        <v>6699.12</v>
      </c>
      <c r="M230" s="149" t="n">
        <v>2819.2</v>
      </c>
      <c r="N230" s="190" t="n">
        <v>3879.92</v>
      </c>
      <c r="O230" s="206" t="n">
        <v>2</v>
      </c>
      <c r="P230" s="149" t="n">
        <v>15606.38</v>
      </c>
      <c r="Q230" s="149" t="n">
        <f aca="false">R230+S230</f>
        <v>1546.68</v>
      </c>
      <c r="R230" s="149" t="n">
        <v>1546.68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42" t="s">
        <v>219</v>
      </c>
      <c r="G231" s="164" t="s">
        <v>26</v>
      </c>
      <c r="H231" s="178" t="n">
        <v>2</v>
      </c>
      <c r="I231" s="165" t="n">
        <v>1</v>
      </c>
      <c r="J231" s="165" t="n">
        <v>1</v>
      </c>
      <c r="K231" s="166" t="n">
        <v>1585.8</v>
      </c>
      <c r="L231" s="166" t="n">
        <f aca="false">M231+N231</f>
        <v>1585.8</v>
      </c>
      <c r="M231" s="166" t="n">
        <v>0</v>
      </c>
      <c r="N231" s="167" t="n">
        <v>1585.8</v>
      </c>
      <c r="O231" s="238" t="n">
        <v>1</v>
      </c>
      <c r="P231" s="166" t="n">
        <v>1585.8</v>
      </c>
      <c r="Q231" s="166" t="n">
        <f aca="false">R231+S231</f>
        <v>1585.8</v>
      </c>
      <c r="R231" s="166" t="n">
        <v>1585.8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289</v>
      </c>
      <c r="C232" s="19"/>
      <c r="D232" s="19"/>
      <c r="E232" s="19"/>
      <c r="F232" s="20"/>
      <c r="G232" s="146" t="s">
        <v>22</v>
      </c>
      <c r="H232" s="173" t="n">
        <v>3</v>
      </c>
      <c r="I232" s="148" t="n">
        <v>1</v>
      </c>
      <c r="J232" s="148" t="n">
        <v>2</v>
      </c>
      <c r="K232" s="149" t="n">
        <v>2643</v>
      </c>
      <c r="L232" s="149" t="n">
        <f aca="false">M232+N232</f>
        <v>2643</v>
      </c>
      <c r="M232" s="149"/>
      <c r="N232" s="224" t="n">
        <v>2643</v>
      </c>
      <c r="O232" s="151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57"/>
      <c r="G233" s="152" t="s">
        <v>23</v>
      </c>
      <c r="H233" s="174" t="n">
        <v>1</v>
      </c>
      <c r="I233" s="154" t="n">
        <v>1</v>
      </c>
      <c r="J233" s="154" t="n">
        <v>1</v>
      </c>
      <c r="K233" s="155" t="n">
        <v>2325.84</v>
      </c>
      <c r="L233" s="155" t="n">
        <v>2325.84</v>
      </c>
      <c r="M233" s="155" t="n">
        <v>2325.84</v>
      </c>
      <c r="N233" s="226"/>
      <c r="O233" s="157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54"/>
      <c r="B234" s="55" t="s">
        <v>147</v>
      </c>
      <c r="C234" s="56" t="s">
        <v>20</v>
      </c>
      <c r="D234" s="56"/>
      <c r="E234" s="56" t="s">
        <v>25</v>
      </c>
      <c r="F234" s="97"/>
      <c r="G234" s="158" t="s">
        <v>22</v>
      </c>
      <c r="H234" s="159" t="n">
        <v>4</v>
      </c>
      <c r="I234" s="160" t="n">
        <v>3</v>
      </c>
      <c r="J234" s="160" t="n">
        <v>3</v>
      </c>
      <c r="K234" s="161" t="n">
        <v>2093.26</v>
      </c>
      <c r="L234" s="161" t="n">
        <f aca="false">M234+N234</f>
        <v>2093.26</v>
      </c>
      <c r="M234" s="161" t="n">
        <v>2093.26</v>
      </c>
      <c r="N234" s="190"/>
      <c r="O234" s="163" t="n">
        <v>4</v>
      </c>
      <c r="P234" s="161" t="n">
        <v>16436.74</v>
      </c>
      <c r="Q234" s="161" t="n">
        <f aca="false">R234+S234</f>
        <v>16436.74</v>
      </c>
      <c r="R234" s="161" t="n">
        <v>16436.74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54"/>
      <c r="B235" s="55"/>
      <c r="C235" s="55"/>
      <c r="D235" s="55"/>
      <c r="E235" s="55"/>
      <c r="F235" s="26" t="s">
        <v>220</v>
      </c>
      <c r="G235" s="152" t="s">
        <v>26</v>
      </c>
      <c r="H235" s="171" t="n">
        <v>12</v>
      </c>
      <c r="I235" s="154" t="n">
        <v>2</v>
      </c>
      <c r="J235" s="154" t="n">
        <v>3</v>
      </c>
      <c r="K235" s="155" t="n">
        <v>9162.4</v>
      </c>
      <c r="L235" s="189" t="n">
        <f aca="false">M235+N235</f>
        <v>4228.8</v>
      </c>
      <c r="M235" s="155" t="n">
        <f aca="false">528.6</f>
        <v>528.6</v>
      </c>
      <c r="N235" s="167" t="n">
        <v>3700.2</v>
      </c>
      <c r="O235" s="157" t="n">
        <v>5</v>
      </c>
      <c r="P235" s="155" t="n">
        <v>13038.8</v>
      </c>
      <c r="Q235" s="161" t="n">
        <f aca="false">R235+S235</f>
        <v>18677.2</v>
      </c>
      <c r="R235" s="155" t="n">
        <f aca="false">7048+528.6+5638.4+5462.2</f>
        <v>18677.2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17"/>
      <c r="B236" s="18" t="s">
        <v>148</v>
      </c>
      <c r="C236" s="19" t="s">
        <v>20</v>
      </c>
      <c r="D236" s="19"/>
      <c r="E236" s="19" t="s">
        <v>21</v>
      </c>
      <c r="F236" s="22"/>
      <c r="G236" s="146" t="s">
        <v>22</v>
      </c>
      <c r="H236" s="173" t="n">
        <v>2</v>
      </c>
      <c r="I236" s="148" t="n">
        <v>1</v>
      </c>
      <c r="J236" s="148" t="n">
        <v>1</v>
      </c>
      <c r="K236" s="149" t="n">
        <v>436.1</v>
      </c>
      <c r="L236" s="149" t="n">
        <f aca="false">M236+N236</f>
        <v>436.1</v>
      </c>
      <c r="M236" s="149" t="n">
        <v>436.1</v>
      </c>
      <c r="N236" s="198"/>
      <c r="O236" s="151" t="n">
        <v>1</v>
      </c>
      <c r="P236" s="149" t="n">
        <v>13232.99</v>
      </c>
      <c r="Q236" s="149" t="n">
        <f aca="false">R236+S236</f>
        <v>13232.99</v>
      </c>
      <c r="R236" s="149" t="n">
        <v>13232.99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248</v>
      </c>
      <c r="G237" s="152" t="s">
        <v>23</v>
      </c>
      <c r="H237" s="171" t="n">
        <v>2</v>
      </c>
      <c r="I237" s="154"/>
      <c r="J237" s="154"/>
      <c r="K237" s="155"/>
      <c r="L237" s="155" t="n">
        <f aca="false">M237+N237</f>
        <v>0</v>
      </c>
      <c r="M237" s="155"/>
      <c r="N237" s="156"/>
      <c r="O237" s="157" t="n">
        <v>1</v>
      </c>
      <c r="P237" s="155" t="n">
        <v>572.65</v>
      </c>
      <c r="Q237" s="155" t="n">
        <v>572.65</v>
      </c>
      <c r="R237" s="155" t="n">
        <v>572.65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99"/>
      <c r="B238" s="100" t="s">
        <v>149</v>
      </c>
      <c r="C238" s="100"/>
      <c r="D238" s="100"/>
      <c r="E238" s="100"/>
      <c r="F238" s="100"/>
      <c r="G238" s="212"/>
      <c r="H238" s="213" t="n">
        <f aca="false">SUM(H9:H237)</f>
        <v>1651</v>
      </c>
      <c r="I238" s="214" t="n">
        <f aca="false">SUM(I9:I237)</f>
        <v>968</v>
      </c>
      <c r="J238" s="214" t="n">
        <f aca="false">SUM(J9:J237)</f>
        <v>1114</v>
      </c>
      <c r="K238" s="215" t="n">
        <f aca="false">SUM(K9:K237)</f>
        <v>1753209.66</v>
      </c>
      <c r="L238" s="215" t="n">
        <f aca="false">SUM(L9:L237)</f>
        <v>1178508.38</v>
      </c>
      <c r="M238" s="215" t="n">
        <f aca="false">SUM(M9:M237)</f>
        <v>801984.5</v>
      </c>
      <c r="N238" s="243" t="n">
        <f aca="false">SUM(N9:N237)</f>
        <v>401950.89</v>
      </c>
      <c r="O238" s="244" t="n">
        <f aca="false">SUM(O9:O237)</f>
        <v>983</v>
      </c>
      <c r="P238" s="245" t="n">
        <f aca="false">SUM(P9:P237)</f>
        <v>3049562.56</v>
      </c>
      <c r="Q238" s="245" t="n">
        <f aca="false">SUM(Q9:Q237)</f>
        <v>2587304.7</v>
      </c>
      <c r="R238" s="245" t="n">
        <f aca="false">SUM(R9:R237)</f>
        <v>2079140.4</v>
      </c>
      <c r="S238" s="246" t="n">
        <f aca="false">SUM(S9:S237)</f>
        <v>526510.3</v>
      </c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I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 t="s">
        <v>290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2"/>
      <c r="B242" s="2"/>
      <c r="C242" s="2"/>
      <c r="D242" s="2"/>
      <c r="E242" s="2"/>
      <c r="F242" s="103"/>
      <c r="G242" s="104" t="s">
        <v>5</v>
      </c>
      <c r="H242" s="104"/>
      <c r="I242" s="104"/>
      <c r="J242" s="104"/>
      <c r="K242" s="104"/>
      <c r="L242" s="104"/>
      <c r="M242" s="104"/>
      <c r="N242" s="104" t="s">
        <v>6</v>
      </c>
      <c r="O242" s="104"/>
      <c r="P242" s="104"/>
      <c r="Q242" s="104"/>
      <c r="R242" s="104"/>
      <c r="S242" s="105" t="s">
        <v>150</v>
      </c>
      <c r="T242" s="105" t="s">
        <v>253</v>
      </c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103"/>
      <c r="G243" s="106" t="s">
        <v>13</v>
      </c>
      <c r="H243" s="106" t="s">
        <v>14</v>
      </c>
      <c r="I243" s="106" t="s">
        <v>15</v>
      </c>
      <c r="J243" s="106" t="s">
        <v>226</v>
      </c>
      <c r="K243" s="106" t="s">
        <v>16</v>
      </c>
      <c r="L243" s="106" t="s">
        <v>17</v>
      </c>
      <c r="M243" s="106" t="s">
        <v>18</v>
      </c>
      <c r="N243" s="106" t="s">
        <v>15</v>
      </c>
      <c r="O243" s="106" t="s">
        <v>226</v>
      </c>
      <c r="P243" s="106" t="s">
        <v>16</v>
      </c>
      <c r="Q243" s="106" t="s">
        <v>17</v>
      </c>
      <c r="R243" s="106" t="s">
        <v>18</v>
      </c>
      <c r="S243" s="105"/>
      <c r="T243" s="105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107" t="s">
        <v>22</v>
      </c>
      <c r="G244" s="108" t="n">
        <f aca="false">SUMIF($G$9:$G$237,$F$244,H9:H237)</f>
        <v>1096</v>
      </c>
      <c r="H244" s="108" t="n">
        <f aca="false">SUMIF($G$9:$G$237,$F$244,I9:I237)</f>
        <v>740</v>
      </c>
      <c r="I244" s="108" t="n">
        <f aca="false">SUMIF($G$9:$G$237,$F$244,J9:J237)</f>
        <v>881</v>
      </c>
      <c r="J244" s="110" t="n">
        <f aca="false">SUMIF($G$9:$G$237,F244,$K$9:$K$237)</f>
        <v>1376848.43</v>
      </c>
      <c r="K244" s="110" t="n">
        <f aca="false">SUMIF($G$9:$G$237,$F$244,L9:L237)</f>
        <v>991505.54</v>
      </c>
      <c r="L244" s="110" t="n">
        <f aca="false">SUMIF($G$9:$G$237,$F$244,M9:M237)</f>
        <v>699110.34</v>
      </c>
      <c r="M244" s="110" t="n">
        <f aca="false">SUMIF($G$9:$G$237,$F$244,N9:N237)</f>
        <v>292395.2</v>
      </c>
      <c r="N244" s="108" t="n">
        <f aca="false">SUMIF($G$9:$G$237,$F$244,O9:O237)</f>
        <v>661</v>
      </c>
      <c r="O244" s="110" t="n">
        <f aca="false">SUMIF($G$9:$G$237,F244,$P$9:$P$237)</f>
        <v>2379038.09</v>
      </c>
      <c r="P244" s="110" t="n">
        <f aca="false">SUMIF($G$9:$G$237,$F$244,Q9:Q237)</f>
        <v>1953989.05</v>
      </c>
      <c r="Q244" s="110" t="n">
        <f aca="false">SUMIF($G$9:$G$237,$F$244,R9:R237)</f>
        <v>1592142.56</v>
      </c>
      <c r="R244" s="110" t="n">
        <f aca="false">SUMIF($G$9:$G$237,$F$244,S9:S237)</f>
        <v>361846.49</v>
      </c>
      <c r="S244" s="110" t="n">
        <f aca="false">Q244+L244</f>
        <v>2291252.9</v>
      </c>
      <c r="T244" s="111" t="n">
        <f aca="false">J244-L244+O244-Q244</f>
        <v>1464633.62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107" t="s">
        <v>26</v>
      </c>
      <c r="G245" s="108" t="n">
        <f aca="false">SUMIF($G$9:$G$237,$F$245,H9:H237)</f>
        <v>346</v>
      </c>
      <c r="H245" s="108" t="n">
        <v>20</v>
      </c>
      <c r="I245" s="108" t="n">
        <f aca="false">SUMIF($G$9:$G$237,$F$245,J9:J237)</f>
        <v>116</v>
      </c>
      <c r="J245" s="110" t="n">
        <f aca="false">SUMIF($G$9:$G$237,F245,$K$9:$K$237)</f>
        <v>221535.02</v>
      </c>
      <c r="K245" s="110" t="n">
        <f aca="false">SUMIF($G$9:$G$237,$F$245,L9:L237)</f>
        <v>148169.31</v>
      </c>
      <c r="L245" s="110" t="n">
        <f aca="false">SUMIF($G$9:$G$237,$F$245,M9:M237)</f>
        <v>67036.03</v>
      </c>
      <c r="M245" s="110" t="n">
        <f aca="false">SUMIF($G$9:$G$237,$F$245,N9:N237)</f>
        <v>85362.08</v>
      </c>
      <c r="N245" s="108" t="n">
        <f aca="false">SUMIF($G$9:$G$237,$F$245,O9:O237)</f>
        <v>216</v>
      </c>
      <c r="O245" s="110" t="n">
        <f aca="false">SUMIF($G$9:$G$237,F245,$P$9:$P$237)</f>
        <v>450001.6</v>
      </c>
      <c r="P245" s="110" t="n">
        <f aca="false">SUMIF($G$9:$G$237,$F$245,Q9:Q237)</f>
        <v>504748.78</v>
      </c>
      <c r="Q245" s="110" t="n">
        <f aca="false">SUMIF($G$9:$G$237,$F$245,R9:R237)</f>
        <v>362835.97</v>
      </c>
      <c r="R245" s="110" t="n">
        <f aca="false">SUMIF($G$9:$G$237,$F$245,S9:S237)</f>
        <v>141912.81</v>
      </c>
      <c r="S245" s="110" t="n">
        <f aca="false">Q245+L245</f>
        <v>429872</v>
      </c>
      <c r="T245" s="111" t="n">
        <f aca="false">J245-L245+O245-Q245</f>
        <v>241664.62</v>
      </c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107" t="s">
        <v>23</v>
      </c>
      <c r="G246" s="108" t="n">
        <f aca="false">SUMIF($G$9:$G$237,$F$246,H9:H237)</f>
        <v>209</v>
      </c>
      <c r="H246" s="108" t="n">
        <f aca="false">SUMIF($G$9:$G$237,$F$246,I9:I237)</f>
        <v>117</v>
      </c>
      <c r="I246" s="108" t="n">
        <f aca="false">SUMIF($G$9:$G$237,$F$246,J9:J237)</f>
        <v>117</v>
      </c>
      <c r="J246" s="110" t="n">
        <f aca="false">SUMIF($G$9:$G$237,F246,$K$9:$K$237)</f>
        <v>154826.21</v>
      </c>
      <c r="K246" s="110" t="n">
        <f aca="false">SUMIF($G$9:$G$237,$F$246,L9:L237)</f>
        <v>38833.53</v>
      </c>
      <c r="L246" s="110" t="n">
        <f aca="false">SUMIF($G$9:$G$237,$F$246,M9:M237)</f>
        <v>35838.13</v>
      </c>
      <c r="M246" s="110" t="n">
        <f aca="false">SUMIF($G$9:$G$237,$F$246,N9:N237)</f>
        <v>24193.61</v>
      </c>
      <c r="N246" s="108" t="n">
        <f aca="false">SUMIF($G$9:$G$237,$F$246,O9:O237)</f>
        <v>106</v>
      </c>
      <c r="O246" s="110" t="n">
        <f aca="false">SUMIF($G$9:$G$237,F246,$P$9:$P$237)</f>
        <v>220522.87</v>
      </c>
      <c r="P246" s="110" t="n">
        <f aca="false">SUMIF($G$9:$G$237,$F$246,Q9:Q237)</f>
        <v>128566.87</v>
      </c>
      <c r="Q246" s="110" t="n">
        <f aca="false">SUMIF($G$9:$G$237,$F$246,R9:R237)</f>
        <v>124161.87</v>
      </c>
      <c r="R246" s="110" t="n">
        <f aca="false">SUMIF($G$9:$G$237,$F$246,S9:S237)</f>
        <v>22751</v>
      </c>
      <c r="S246" s="110" t="n">
        <f aca="false">Q246+L246</f>
        <v>160000</v>
      </c>
      <c r="T246" s="111" t="n">
        <f aca="false">J246-L246+O246-Q246</f>
        <v>215349.08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16" t="n">
        <f aca="false">G246+G245+G244</f>
        <v>1651</v>
      </c>
      <c r="H247" s="216" t="n">
        <f aca="false">H246+H245+H244</f>
        <v>877</v>
      </c>
      <c r="I247" s="216" t="n">
        <f aca="false">I246+I245+I244</f>
        <v>1114</v>
      </c>
      <c r="J247" s="217" t="n">
        <f aca="false">J246+J245+J244</f>
        <v>1753209.66</v>
      </c>
      <c r="K247" s="217" t="n">
        <f aca="false">K246+K245+K244</f>
        <v>1178508.38</v>
      </c>
      <c r="L247" s="217" t="n">
        <f aca="false">L246+L245+L244</f>
        <v>801984.5</v>
      </c>
      <c r="M247" s="217" t="n">
        <f aca="false">M246+M245+M244</f>
        <v>401950.89</v>
      </c>
      <c r="N247" s="216" t="n">
        <f aca="false">N246+N245+N244</f>
        <v>983</v>
      </c>
      <c r="O247" s="217" t="n">
        <f aca="false">O246+O245+O244</f>
        <v>3049562.56</v>
      </c>
      <c r="P247" s="217" t="n">
        <f aca="false">P246+P245+P244</f>
        <v>2587304.7</v>
      </c>
      <c r="Q247" s="217" t="n">
        <f aca="false">Q246+Q245+Q244</f>
        <v>2079140.4</v>
      </c>
      <c r="R247" s="217" t="n">
        <f aca="false">R246+R245+R244</f>
        <v>526510.3</v>
      </c>
      <c r="S247" s="217" t="n">
        <f aca="false">S246+S245+S244</f>
        <v>2881124.9</v>
      </c>
      <c r="T247" s="217" t="n">
        <f aca="false">T246+T245+T244</f>
        <v>1921647.32</v>
      </c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K281" s="236"/>
    </row>
    <row r="282" customFormat="false" ht="15" hidden="false" customHeight="false" outlineLevel="0" collapsed="false">
      <c r="K282" s="236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F308" s="0" t="s">
        <v>22</v>
      </c>
      <c r="G308" s="0" t="n">
        <v>855</v>
      </c>
      <c r="H308" s="247" t="n">
        <v>470</v>
      </c>
      <c r="I308" s="247" t="n">
        <v>533</v>
      </c>
      <c r="J308" s="0" t="n">
        <v>698634.28</v>
      </c>
      <c r="K308" s="236" t="n">
        <v>578741.37</v>
      </c>
      <c r="L308" s="0" t="n">
        <v>208301.67</v>
      </c>
      <c r="M308" s="0" t="n">
        <v>370439.7</v>
      </c>
      <c r="N308" s="0" t="n">
        <v>549</v>
      </c>
      <c r="O308" s="0" t="n">
        <v>1707859.19</v>
      </c>
      <c r="P308" s="0" t="n">
        <v>1387209.08</v>
      </c>
      <c r="Q308" s="0" t="n">
        <v>868523.33</v>
      </c>
      <c r="R308" s="0" t="n">
        <v>518685.75</v>
      </c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</sheetData>
  <mergeCells count="56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4"/>
    <mergeCell ref="B122:B124"/>
    <mergeCell ref="C122:C124"/>
    <mergeCell ref="D122:D124"/>
    <mergeCell ref="E122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5"/>
    <mergeCell ref="B133:B135"/>
    <mergeCell ref="C133:C135"/>
    <mergeCell ref="D133:D135"/>
    <mergeCell ref="E133:E135"/>
    <mergeCell ref="A136:A137"/>
    <mergeCell ref="B136:B137"/>
    <mergeCell ref="C136:C137"/>
    <mergeCell ref="D136:D137"/>
    <mergeCell ref="E136:E137"/>
    <mergeCell ref="A138:A140"/>
    <mergeCell ref="B138:B140"/>
    <mergeCell ref="C138:C140"/>
    <mergeCell ref="D138:D140"/>
    <mergeCell ref="E138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3"/>
    <mergeCell ref="B171:B173"/>
    <mergeCell ref="C171:C173"/>
    <mergeCell ref="D171:D173"/>
    <mergeCell ref="E171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B180:B181"/>
    <mergeCell ref="D180:D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F242:F243"/>
    <mergeCell ref="G242:M242"/>
    <mergeCell ref="N242:R242"/>
    <mergeCell ref="S242:S243"/>
    <mergeCell ref="T242:T24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7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21</v>
      </c>
      <c r="I11" s="160" t="n">
        <v>16</v>
      </c>
      <c r="J11" s="160" t="n">
        <v>28</v>
      </c>
      <c r="K11" s="161" t="n">
        <v>57578.8</v>
      </c>
      <c r="L11" s="161" t="n">
        <f aca="false">M11+N11</f>
        <v>28456.91</v>
      </c>
      <c r="M11" s="161" t="n">
        <v>28456.91</v>
      </c>
      <c r="N11" s="239"/>
      <c r="O11" s="151" t="n">
        <v>9</v>
      </c>
      <c r="P11" s="149" t="n">
        <v>39893.36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33</v>
      </c>
      <c r="K13" s="149" t="n">
        <v>46182.72</v>
      </c>
      <c r="L13" s="149" t="n">
        <f aca="false">M13+N13</f>
        <v>38950.58</v>
      </c>
      <c r="M13" s="149" t="n">
        <v>26104.4</v>
      </c>
      <c r="N13" s="249" t="n">
        <v>12846.18</v>
      </c>
      <c r="O13" s="228" t="n">
        <v>5</v>
      </c>
      <c r="P13" s="161" t="n">
        <v>14423.5</v>
      </c>
      <c r="Q13" s="161" t="n">
        <f aca="false">R13+S13</f>
        <v>14423.5</v>
      </c>
      <c r="R13" s="161" t="n">
        <v>12388.39</v>
      </c>
      <c r="S13" s="190" t="n">
        <v>2035.11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5462.2</v>
      </c>
      <c r="M14" s="155" t="n">
        <f aca="false">1938.2</f>
        <v>1938.2</v>
      </c>
      <c r="N14" s="156" t="n">
        <v>3524</v>
      </c>
      <c r="O14" s="209" t="n">
        <v>7</v>
      </c>
      <c r="P14" s="155" t="n">
        <v>11273.8</v>
      </c>
      <c r="Q14" s="155" t="n">
        <f aca="false">R14+S14</f>
        <v>15497.5</v>
      </c>
      <c r="R14" s="155" t="n">
        <f aca="false">1585.8+2106.3+5109.8+2114.4</f>
        <v>10916.3</v>
      </c>
      <c r="S14" s="167" t="n">
        <v>4581.2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/>
      <c r="N16" s="167" t="n">
        <f aca="false">4405</f>
        <v>4405</v>
      </c>
      <c r="O16" s="168" t="n">
        <v>4</v>
      </c>
      <c r="P16" s="166" t="n">
        <v>19515.9</v>
      </c>
      <c r="Q16" s="166" t="n">
        <f aca="false">R16+S16</f>
        <v>15858</v>
      </c>
      <c r="R16" s="166" t="n">
        <f aca="false">10924.4</f>
        <v>10924.4</v>
      </c>
      <c r="S16" s="167" t="n">
        <f aca="false">4933.6</f>
        <v>4933.6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5</v>
      </c>
      <c r="I19" s="160" t="n">
        <v>1</v>
      </c>
      <c r="J19" s="160" t="n">
        <v>1</v>
      </c>
      <c r="K19" s="161" t="n">
        <v>528.6</v>
      </c>
      <c r="L19" s="161" t="n">
        <f aca="false">M19+N19</f>
        <v>0</v>
      </c>
      <c r="M19" s="161"/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5</v>
      </c>
      <c r="I20" s="154" t="n">
        <v>2</v>
      </c>
      <c r="J20" s="154" t="n">
        <v>2</v>
      </c>
      <c r="K20" s="155" t="n">
        <v>1389.4</v>
      </c>
      <c r="L20" s="155" t="n">
        <f aca="false">M20+N20</f>
        <v>704.8</v>
      </c>
      <c r="M20" s="155" t="n">
        <f aca="false">704.8</f>
        <v>704.8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18</v>
      </c>
      <c r="I21" s="160" t="n">
        <v>11</v>
      </c>
      <c r="J21" s="160" t="n">
        <v>12</v>
      </c>
      <c r="K21" s="161" t="n">
        <v>14830.79</v>
      </c>
      <c r="L21" s="161" t="n">
        <f aca="false">M21+N21</f>
        <v>14830.79</v>
      </c>
      <c r="M21" s="161" t="n">
        <v>4012.08</v>
      </c>
      <c r="N21" s="190" t="n">
        <v>10818.71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17766.28</v>
      </c>
      <c r="S21" s="190" t="n">
        <v>25813.94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1</v>
      </c>
      <c r="J22" s="154" t="n">
        <v>1</v>
      </c>
      <c r="K22" s="155" t="n">
        <v>1762</v>
      </c>
      <c r="L22" s="155" t="n">
        <f aca="false">M22+N22</f>
        <v>0</v>
      </c>
      <c r="M22" s="155"/>
      <c r="N22" s="156"/>
      <c r="O22" s="157" t="n">
        <v>3</v>
      </c>
      <c r="P22" s="155"/>
      <c r="Q22" s="155" t="n">
        <f aca="false">R22+S22</f>
        <v>0</v>
      </c>
      <c r="R22" s="155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24</v>
      </c>
      <c r="I23" s="160" t="n">
        <v>17</v>
      </c>
      <c r="J23" s="160" t="n">
        <v>28</v>
      </c>
      <c r="K23" s="161" t="n">
        <v>37859.19</v>
      </c>
      <c r="L23" s="161" t="n">
        <f aca="false">M23+N23</f>
        <v>36599.36</v>
      </c>
      <c r="M23" s="161" t="n">
        <v>24311.18</v>
      </c>
      <c r="N23" s="190" t="n">
        <v>12288.18</v>
      </c>
      <c r="O23" s="151" t="n">
        <v>22</v>
      </c>
      <c r="P23" s="149" t="n">
        <v>47120.13</v>
      </c>
      <c r="Q23" s="149" t="n">
        <f aca="false">R23+S23</f>
        <v>47120.13</v>
      </c>
      <c r="R23" s="149" t="n">
        <v>27767.21</v>
      </c>
      <c r="S23" s="198" t="n">
        <v>19352.92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704.8</v>
      </c>
      <c r="R24" s="155" t="n">
        <v>704.8</v>
      </c>
      <c r="S24" s="156" t="n">
        <v>1145.3</v>
      </c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19</v>
      </c>
      <c r="I25" s="148" t="n">
        <v>15</v>
      </c>
      <c r="J25" s="148" t="n">
        <v>15</v>
      </c>
      <c r="K25" s="148" t="n">
        <v>5100.63</v>
      </c>
      <c r="L25" s="149" t="n">
        <f aca="false">M25+N25</f>
        <v>4140.7</v>
      </c>
      <c r="M25" s="149" t="n">
        <v>4140.7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3</v>
      </c>
      <c r="J26" s="154" t="n">
        <v>3</v>
      </c>
      <c r="K26" s="155" t="n">
        <v>5275.7</v>
      </c>
      <c r="L26" s="155" t="n">
        <f aca="false">M26+N26</f>
        <v>0</v>
      </c>
      <c r="M26" s="155"/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24</v>
      </c>
      <c r="I27" s="160" t="n">
        <v>23</v>
      </c>
      <c r="J27" s="160" t="n">
        <v>34</v>
      </c>
      <c r="K27" s="161" t="n">
        <v>61334.34</v>
      </c>
      <c r="L27" s="161" t="n">
        <f aca="false">M27+N27</f>
        <v>43954.53</v>
      </c>
      <c r="M27" s="161" t="n">
        <v>33328.26</v>
      </c>
      <c r="N27" s="190" t="n">
        <v>10626.27</v>
      </c>
      <c r="O27" s="151" t="n">
        <v>8</v>
      </c>
      <c r="P27" s="149" t="n">
        <v>21503.23</v>
      </c>
      <c r="Q27" s="149" t="n">
        <f aca="false">R27+S27</f>
        <v>20128.87</v>
      </c>
      <c r="R27" s="149" t="n">
        <v>10769.07</v>
      </c>
      <c r="S27" s="198" t="n">
        <v>9359.8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5</v>
      </c>
      <c r="I28" s="165" t="n">
        <v>3</v>
      </c>
      <c r="J28" s="165" t="n">
        <v>3</v>
      </c>
      <c r="K28" s="166" t="n">
        <v>2114.4</v>
      </c>
      <c r="L28" s="166" t="n">
        <f aca="false">M28+N28</f>
        <v>1409.6</v>
      </c>
      <c r="M28" s="166"/>
      <c r="N28" s="156" t="n">
        <v>1409.6</v>
      </c>
      <c r="O28" s="157" t="n">
        <v>11</v>
      </c>
      <c r="P28" s="155" t="n">
        <v>19558.2</v>
      </c>
      <c r="Q28" s="155" t="n">
        <f aca="false">R28+S28</f>
        <v>28368.2</v>
      </c>
      <c r="R28" s="155" t="n">
        <f aca="false">2995.4+14272.2</f>
        <v>17267.6</v>
      </c>
      <c r="S28" s="156" t="n">
        <f aca="false">11100.6</f>
        <v>11100.6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/>
      <c r="N29" s="190" t="n">
        <v>1550.56</v>
      </c>
      <c r="O29" s="151" t="n">
        <v>4</v>
      </c>
      <c r="P29" s="149" t="n">
        <v>14655.02</v>
      </c>
      <c r="Q29" s="149" t="n">
        <f aca="false">R29+S29</f>
        <v>14655.02</v>
      </c>
      <c r="R29" s="149" t="n">
        <v>6373.62</v>
      </c>
      <c r="S29" s="198" t="n">
        <v>8281.4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</f>
        <v>4052.6</v>
      </c>
      <c r="N30" s="167" t="n">
        <f aca="false">2643</f>
        <v>2643</v>
      </c>
      <c r="O30" s="168" t="n">
        <v>10</v>
      </c>
      <c r="P30" s="166" t="n">
        <v>19381.4</v>
      </c>
      <c r="Q30" s="166" t="n">
        <f aca="false">R30+S30</f>
        <v>17267.7</v>
      </c>
      <c r="R30" s="166" t="n">
        <f aca="false">5286+2290.6-23.95+9715.05</f>
        <v>17267.7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/>
      <c r="N33" s="190" t="n">
        <v>4864.84</v>
      </c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1</v>
      </c>
      <c r="J34" s="165" t="n">
        <v>1</v>
      </c>
      <c r="K34" s="166" t="n">
        <v>2114.4</v>
      </c>
      <c r="L34" s="166" t="n">
        <f aca="false">M34+N34</f>
        <v>0</v>
      </c>
      <c r="M34" s="166"/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1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14</v>
      </c>
      <c r="I37" s="160" t="n">
        <v>10</v>
      </c>
      <c r="J37" s="160" t="n">
        <v>11</v>
      </c>
      <c r="K37" s="161" t="n">
        <v>20211.1</v>
      </c>
      <c r="L37" s="161" t="n">
        <f aca="false">M37+N37</f>
        <v>16153.14</v>
      </c>
      <c r="M37" s="161" t="n">
        <v>881</v>
      </c>
      <c r="N37" s="190" t="n">
        <v>15272.14</v>
      </c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6</v>
      </c>
      <c r="I38" s="154" t="n">
        <v>3</v>
      </c>
      <c r="J38" s="154" t="n">
        <v>3</v>
      </c>
      <c r="K38" s="155" t="n">
        <v>6343.2</v>
      </c>
      <c r="L38" s="155" t="n">
        <f aca="false">M38+N38</f>
        <v>704.8</v>
      </c>
      <c r="M38" s="155" t="n">
        <f aca="false">704.8</f>
        <v>704.8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13</v>
      </c>
      <c r="J41" s="160" t="n">
        <v>16</v>
      </c>
      <c r="K41" s="161" t="n">
        <v>30817</v>
      </c>
      <c r="L41" s="161" t="n">
        <f aca="false">M41+N41</f>
        <v>18145.63</v>
      </c>
      <c r="M41" s="161" t="n">
        <v>9138.09</v>
      </c>
      <c r="N41" s="190" t="n">
        <v>9007.54</v>
      </c>
      <c r="O41" s="151" t="n">
        <v>10</v>
      </c>
      <c r="P41" s="149" t="n">
        <v>39637.95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/>
      <c r="N42" s="156" t="n">
        <f aca="false">4933.6</f>
        <v>4933.6</v>
      </c>
      <c r="O42" s="157" t="n">
        <v>5</v>
      </c>
      <c r="P42" s="155" t="n">
        <v>13567.4</v>
      </c>
      <c r="Q42" s="155" t="n">
        <f aca="false">R42+S42</f>
        <v>14800.8</v>
      </c>
      <c r="R42" s="155" t="n">
        <f aca="false">53.85+11399.15</f>
        <v>11453</v>
      </c>
      <c r="S42" s="156" t="n">
        <f aca="false">3347.8</f>
        <v>3347.8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13</v>
      </c>
      <c r="I43" s="160" t="n">
        <v>11</v>
      </c>
      <c r="J43" s="160" t="n">
        <v>14</v>
      </c>
      <c r="K43" s="161" t="n">
        <v>33480.29</v>
      </c>
      <c r="L43" s="161" t="n">
        <f aca="false">M43+N43</f>
        <v>27872.38</v>
      </c>
      <c r="M43" s="161" t="n">
        <v>19151.8</v>
      </c>
      <c r="N43" s="190" t="n">
        <v>8720.58</v>
      </c>
      <c r="O43" s="151" t="n">
        <v>16</v>
      </c>
      <c r="P43" s="149" t="n">
        <v>56737.45</v>
      </c>
      <c r="Q43" s="149" t="n">
        <f aca="false">R43+S43</f>
        <v>55419.47</v>
      </c>
      <c r="R43" s="149" t="n">
        <v>54101.49</v>
      </c>
      <c r="S43" s="198" t="n">
        <v>1317.98</v>
      </c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6</v>
      </c>
      <c r="J45" s="148" t="n">
        <v>6</v>
      </c>
      <c r="K45" s="149" t="n">
        <v>3730.57</v>
      </c>
      <c r="L45" s="149" t="n">
        <f aca="false">M45+N45</f>
        <v>2119.69</v>
      </c>
      <c r="M45" s="149" t="n">
        <v>2119.69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3</v>
      </c>
      <c r="P46" s="166" t="n">
        <v>13945.3</v>
      </c>
      <c r="Q46" s="166" t="n">
        <f aca="false">R46+S46</f>
        <v>10849.9</v>
      </c>
      <c r="R46" s="166" t="n">
        <f aca="false">10849.9</f>
        <v>10849.9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2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v>0</v>
      </c>
      <c r="N48" s="156" t="n">
        <v>1233.4</v>
      </c>
      <c r="O48" s="157" t="n">
        <v>4</v>
      </c>
      <c r="P48" s="155" t="n">
        <v>11981.6</v>
      </c>
      <c r="Q48" s="155" t="n">
        <f aca="false">R48+S48</f>
        <v>13567.4</v>
      </c>
      <c r="R48" s="155" t="n">
        <f aca="false">528.6+11453</f>
        <v>11981.6</v>
      </c>
      <c r="S48" s="156" t="n">
        <v>1585.8</v>
      </c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/>
      <c r="N51" s="190" t="n">
        <v>5976.7</v>
      </c>
      <c r="O51" s="151" t="n">
        <v>3</v>
      </c>
      <c r="P51" s="149" t="n">
        <v>9820.51</v>
      </c>
      <c r="Q51" s="149" t="n">
        <f aca="false">R51+S51</f>
        <v>9820.51</v>
      </c>
      <c r="R51" s="149" t="n">
        <v>5039.32</v>
      </c>
      <c r="S51" s="198" t="n">
        <v>4781.19</v>
      </c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50</v>
      </c>
      <c r="I53" s="148" t="n">
        <v>45</v>
      </c>
      <c r="J53" s="148" t="n">
        <v>45</v>
      </c>
      <c r="K53" s="149" t="n">
        <v>42999.32</v>
      </c>
      <c r="L53" s="149" t="n">
        <f aca="false">M53+N53</f>
        <v>39470.47</v>
      </c>
      <c r="M53" s="149" t="n">
        <v>34720.47</v>
      </c>
      <c r="N53" s="190" t="n">
        <v>4750</v>
      </c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4</v>
      </c>
      <c r="I54" s="154" t="n">
        <v>3</v>
      </c>
      <c r="J54" s="154" t="n">
        <v>3</v>
      </c>
      <c r="K54" s="155" t="n">
        <v>15858</v>
      </c>
      <c r="L54" s="155" t="n">
        <f aca="false">M54+N54</f>
        <v>1409.6</v>
      </c>
      <c r="M54" s="155" t="n">
        <f aca="false">1409.6</f>
        <v>1409.6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23</v>
      </c>
      <c r="I55" s="160" t="n">
        <v>13</v>
      </c>
      <c r="J55" s="160" t="n">
        <v>17</v>
      </c>
      <c r="K55" s="161" t="n">
        <v>30660.61</v>
      </c>
      <c r="L55" s="161" t="n">
        <f aca="false">M55+N55</f>
        <v>28323.14</v>
      </c>
      <c r="M55" s="161" t="n">
        <v>11601.93</v>
      </c>
      <c r="N55" s="190" t="n">
        <v>16721.21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47845.54</v>
      </c>
      <c r="S55" s="198" t="n">
        <v>27796.17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4</v>
      </c>
      <c r="I57" s="160" t="n">
        <v>2</v>
      </c>
      <c r="J57" s="160" t="n">
        <v>2</v>
      </c>
      <c r="K57" s="161" t="n">
        <v>2563.71</v>
      </c>
      <c r="L57" s="161" t="n">
        <f aca="false">M57+N57</f>
        <v>0</v>
      </c>
      <c r="M57" s="161"/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1" t="n">
        <v>4</v>
      </c>
      <c r="I58" s="165" t="n">
        <v>1</v>
      </c>
      <c r="J58" s="165" t="n">
        <v>1</v>
      </c>
      <c r="K58" s="166" t="n">
        <v>1057.2</v>
      </c>
      <c r="L58" s="161" t="n">
        <f aca="false">M58+N58</f>
        <v>1057.2</v>
      </c>
      <c r="M58" s="166" t="n">
        <v>0</v>
      </c>
      <c r="N58" s="156" t="n">
        <v>1057.2</v>
      </c>
      <c r="O58" s="168" t="n">
        <v>8</v>
      </c>
      <c r="P58" s="166" t="n">
        <v>14217.29</v>
      </c>
      <c r="Q58" s="161" t="n">
        <f aca="false">R58+S58</f>
        <v>18120.69</v>
      </c>
      <c r="R58" s="166" t="n">
        <f aca="false">1409.6+3672.29+13038.8</f>
        <v>18120.69</v>
      </c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56</v>
      </c>
      <c r="C59" s="19" t="s">
        <v>33</v>
      </c>
      <c r="D59" s="19" t="s">
        <v>57</v>
      </c>
      <c r="E59" s="19" t="s">
        <v>25</v>
      </c>
      <c r="F59" s="20"/>
      <c r="G59" s="146" t="s">
        <v>22</v>
      </c>
      <c r="H59" s="159" t="n">
        <v>7</v>
      </c>
      <c r="I59" s="148"/>
      <c r="J59" s="148"/>
      <c r="K59" s="149"/>
      <c r="L59" s="149" t="n">
        <f aca="false">M59+N59</f>
        <v>0</v>
      </c>
      <c r="M59" s="149"/>
      <c r="N59" s="190"/>
      <c r="O59" s="151" t="n">
        <v>11</v>
      </c>
      <c r="P59" s="149" t="n">
        <v>43131.21</v>
      </c>
      <c r="Q59" s="149" t="n">
        <f aca="false">R59+S59</f>
        <v>43131.21</v>
      </c>
      <c r="R59" s="149" t="n">
        <v>43131.21</v>
      </c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42"/>
      <c r="G60" s="164" t="s">
        <v>26</v>
      </c>
      <c r="H60" s="175" t="n">
        <v>4</v>
      </c>
      <c r="I60" s="165"/>
      <c r="J60" s="165"/>
      <c r="K60" s="166"/>
      <c r="L60" s="166" t="n">
        <f aca="false">M60+N60</f>
        <v>0</v>
      </c>
      <c r="M60" s="166"/>
      <c r="N60" s="156"/>
      <c r="O60" s="168" t="n">
        <v>5</v>
      </c>
      <c r="P60" s="166"/>
      <c r="Q60" s="166" t="n">
        <f aca="false">R60+S60</f>
        <v>4249</v>
      </c>
      <c r="R60" s="166"/>
      <c r="S60" s="156" t="n">
        <f aca="false">4249</f>
        <v>4249</v>
      </c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266</v>
      </c>
      <c r="C61" s="19" t="s">
        <v>20</v>
      </c>
      <c r="D61" s="19"/>
      <c r="E61" s="19" t="s">
        <v>267</v>
      </c>
      <c r="F61" s="20"/>
      <c r="G61" s="146" t="s">
        <v>22</v>
      </c>
      <c r="H61" s="173" t="n">
        <v>2</v>
      </c>
      <c r="I61" s="148" t="n">
        <v>1</v>
      </c>
      <c r="J61" s="148" t="n">
        <v>1</v>
      </c>
      <c r="K61" s="149" t="n">
        <v>528.6</v>
      </c>
      <c r="L61" s="149" t="n">
        <f aca="false">M61+N61</f>
        <v>0</v>
      </c>
      <c r="M61" s="149"/>
      <c r="N61" s="190"/>
      <c r="O61" s="206"/>
      <c r="P61" s="149"/>
      <c r="Q61" s="149" t="n">
        <f aca="false">R61+S61</f>
        <v>0</v>
      </c>
      <c r="R61" s="149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26" t="s">
        <v>268</v>
      </c>
      <c r="G62" s="152" t="s">
        <v>26</v>
      </c>
      <c r="H62" s="174" t="n">
        <v>5</v>
      </c>
      <c r="I62" s="154" t="n">
        <v>3</v>
      </c>
      <c r="J62" s="154" t="n">
        <v>3</v>
      </c>
      <c r="K62" s="155" t="n">
        <v>5286</v>
      </c>
      <c r="L62" s="155" t="n">
        <f aca="false">M62+N62</f>
        <v>1233.4</v>
      </c>
      <c r="M62" s="155"/>
      <c r="N62" s="156" t="n">
        <f aca="false">1233.4</f>
        <v>1233.4</v>
      </c>
      <c r="O62" s="209"/>
      <c r="P62" s="155"/>
      <c r="Q62" s="155" t="n">
        <f aca="false">R62+S62</f>
        <v>0</v>
      </c>
      <c r="R62" s="155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54"/>
      <c r="B63" s="55" t="s">
        <v>155</v>
      </c>
      <c r="C63" s="56"/>
      <c r="D63" s="56"/>
      <c r="E63" s="56"/>
      <c r="F63" s="36"/>
      <c r="G63" s="158" t="s">
        <v>22</v>
      </c>
      <c r="H63" s="159" t="n">
        <v>13</v>
      </c>
      <c r="I63" s="160" t="n">
        <v>13</v>
      </c>
      <c r="J63" s="160" t="n">
        <v>16</v>
      </c>
      <c r="K63" s="161" t="n">
        <v>31832.71</v>
      </c>
      <c r="L63" s="161" t="n">
        <f aca="false">M63+N63</f>
        <v>13482.82</v>
      </c>
      <c r="M63" s="161" t="n">
        <v>13482.82</v>
      </c>
      <c r="N63" s="190"/>
      <c r="O63" s="163"/>
      <c r="P63" s="161"/>
      <c r="Q63" s="161" t="n">
        <f aca="false">R63+S63</f>
        <v>0</v>
      </c>
      <c r="R63" s="161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54"/>
      <c r="B64" s="55"/>
      <c r="C64" s="55"/>
      <c r="D64" s="55"/>
      <c r="E64" s="55"/>
      <c r="F64" s="71"/>
      <c r="G64" s="164" t="s">
        <v>26</v>
      </c>
      <c r="H64" s="177"/>
      <c r="I64" s="165"/>
      <c r="J64" s="165"/>
      <c r="K64" s="166"/>
      <c r="L64" s="166" t="n">
        <f aca="false">M64+N64</f>
        <v>0</v>
      </c>
      <c r="M64" s="166"/>
      <c r="N64" s="156"/>
      <c r="O64" s="168"/>
      <c r="P64" s="166"/>
      <c r="Q64" s="166" t="n">
        <f aca="false">R64+S64</f>
        <v>0</v>
      </c>
      <c r="R64" s="166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17"/>
      <c r="B65" s="18" t="s">
        <v>221</v>
      </c>
      <c r="C65" s="19" t="s">
        <v>20</v>
      </c>
      <c r="D65" s="19"/>
      <c r="E65" s="19" t="s">
        <v>278</v>
      </c>
      <c r="F65" s="20"/>
      <c r="G65" s="146" t="s">
        <v>22</v>
      </c>
      <c r="H65" s="173" t="n">
        <v>9</v>
      </c>
      <c r="I65" s="148" t="n">
        <v>2</v>
      </c>
      <c r="J65" s="148" t="n">
        <v>2</v>
      </c>
      <c r="K65" s="149" t="n">
        <v>5127.42</v>
      </c>
      <c r="L65" s="149" t="n">
        <f aca="false">M65+N65</f>
        <v>3717.82</v>
      </c>
      <c r="M65" s="149" t="n">
        <v>3717.82</v>
      </c>
      <c r="N65" s="190"/>
      <c r="O65" s="151"/>
      <c r="P65" s="149"/>
      <c r="Q65" s="149" t="n">
        <f aca="false">R65+S65</f>
        <v>0</v>
      </c>
      <c r="R65" s="149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17"/>
      <c r="B66" s="18"/>
      <c r="C66" s="18"/>
      <c r="D66" s="18"/>
      <c r="E66" s="18"/>
      <c r="F66" s="26" t="s">
        <v>233</v>
      </c>
      <c r="G66" s="152" t="s">
        <v>23</v>
      </c>
      <c r="H66" s="174" t="n">
        <v>8</v>
      </c>
      <c r="I66" s="154" t="n">
        <v>5</v>
      </c>
      <c r="J66" s="154" t="n">
        <v>5</v>
      </c>
      <c r="K66" s="155" t="n">
        <v>4052.6</v>
      </c>
      <c r="L66" s="155" t="n">
        <f aca="false">M66+N66</f>
        <v>704.8</v>
      </c>
      <c r="M66" s="155" t="n">
        <v>704.8</v>
      </c>
      <c r="N66" s="156"/>
      <c r="O66" s="157"/>
      <c r="P66" s="155"/>
      <c r="Q66" s="155" t="n">
        <f aca="false">R66+S66</f>
        <v>0</v>
      </c>
      <c r="R66" s="155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33"/>
      <c r="B67" s="34" t="s">
        <v>58</v>
      </c>
      <c r="C67" s="35" t="s">
        <v>20</v>
      </c>
      <c r="D67" s="35"/>
      <c r="E67" s="35" t="s">
        <v>52</v>
      </c>
      <c r="F67" s="36"/>
      <c r="G67" s="158" t="s">
        <v>22</v>
      </c>
      <c r="H67" s="159" t="n">
        <v>11</v>
      </c>
      <c r="I67" s="160" t="n">
        <v>7</v>
      </c>
      <c r="J67" s="160" t="n">
        <v>12</v>
      </c>
      <c r="K67" s="161" t="n">
        <v>21739.72</v>
      </c>
      <c r="L67" s="161" t="n">
        <f aca="false">M67+N67</f>
        <v>16500.69</v>
      </c>
      <c r="M67" s="161" t="n">
        <v>16500.69</v>
      </c>
      <c r="N67" s="190"/>
      <c r="O67" s="163" t="n">
        <v>10</v>
      </c>
      <c r="P67" s="161" t="n">
        <v>62059.28</v>
      </c>
      <c r="Q67" s="161" t="n">
        <f aca="false">R67+S67</f>
        <v>62059.28</v>
      </c>
      <c r="R67" s="161" t="n">
        <v>62059.28</v>
      </c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71"/>
      <c r="G68" s="164" t="s">
        <v>26</v>
      </c>
      <c r="H68" s="175"/>
      <c r="I68" s="165"/>
      <c r="J68" s="165"/>
      <c r="K68" s="166"/>
      <c r="L68" s="166" t="n">
        <f aca="false">M68+N68</f>
        <v>0</v>
      </c>
      <c r="M68" s="166"/>
      <c r="N68" s="156"/>
      <c r="O68" s="168"/>
      <c r="P68" s="166"/>
      <c r="Q68" s="166" t="n">
        <f aca="false">R68+S68</f>
        <v>0</v>
      </c>
      <c r="R68" s="166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17"/>
      <c r="B69" s="18" t="s">
        <v>269</v>
      </c>
      <c r="C69" s="19"/>
      <c r="D69" s="49"/>
      <c r="E69" s="19"/>
      <c r="F69" s="22"/>
      <c r="G69" s="146" t="s">
        <v>22</v>
      </c>
      <c r="H69" s="147" t="n">
        <v>10</v>
      </c>
      <c r="I69" s="148" t="n">
        <v>9</v>
      </c>
      <c r="J69" s="148" t="n">
        <v>9</v>
      </c>
      <c r="K69" s="149" t="n">
        <v>20127.9</v>
      </c>
      <c r="L69" s="149" t="n">
        <f aca="false">M69+N69</f>
        <v>14798.19</v>
      </c>
      <c r="M69" s="149"/>
      <c r="N69" s="190" t="n">
        <v>14798.19</v>
      </c>
      <c r="O69" s="206"/>
      <c r="P69" s="149"/>
      <c r="Q69" s="149" t="n">
        <f aca="false">R69+S69</f>
        <v>0</v>
      </c>
      <c r="R69" s="149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17"/>
      <c r="B70" s="18"/>
      <c r="C70" s="18"/>
      <c r="D70" s="18"/>
      <c r="E70" s="18"/>
      <c r="F70" s="26"/>
      <c r="G70" s="152" t="s">
        <v>26</v>
      </c>
      <c r="H70" s="176"/>
      <c r="I70" s="154"/>
      <c r="J70" s="154"/>
      <c r="K70" s="155"/>
      <c r="L70" s="155" t="n">
        <f aca="false">M70+N70</f>
        <v>0</v>
      </c>
      <c r="M70" s="155"/>
      <c r="N70" s="156"/>
      <c r="O70" s="209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54"/>
      <c r="B71" s="55" t="s">
        <v>222</v>
      </c>
      <c r="C71" s="56" t="s">
        <v>20</v>
      </c>
      <c r="D71" s="78"/>
      <c r="E71" s="56" t="s">
        <v>279</v>
      </c>
      <c r="F71" s="38"/>
      <c r="G71" s="158" t="s">
        <v>22</v>
      </c>
      <c r="H71" s="169" t="n">
        <v>22</v>
      </c>
      <c r="I71" s="160" t="n">
        <v>15</v>
      </c>
      <c r="J71" s="160" t="n">
        <v>16</v>
      </c>
      <c r="K71" s="161" t="n">
        <v>53885.9</v>
      </c>
      <c r="L71" s="161" t="n">
        <f aca="false">M71+N71</f>
        <v>3383.04</v>
      </c>
      <c r="M71" s="161" t="n">
        <v>3383.04</v>
      </c>
      <c r="N71" s="190"/>
      <c r="O71" s="163"/>
      <c r="P71" s="161"/>
      <c r="Q71" s="161" t="n">
        <f aca="false">R71+S71</f>
        <v>0</v>
      </c>
      <c r="R71" s="161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54"/>
      <c r="B72" s="55"/>
      <c r="C72" s="55"/>
      <c r="D72" s="55"/>
      <c r="E72" s="55"/>
      <c r="F72" s="42" t="s">
        <v>234</v>
      </c>
      <c r="G72" s="164" t="s">
        <v>23</v>
      </c>
      <c r="H72" s="178" t="n">
        <v>3</v>
      </c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17"/>
      <c r="B73" s="18" t="s">
        <v>249</v>
      </c>
      <c r="C73" s="19"/>
      <c r="D73" s="49"/>
      <c r="E73" s="19"/>
      <c r="F73" s="22"/>
      <c r="G73" s="146" t="s">
        <v>22</v>
      </c>
      <c r="H73" s="147"/>
      <c r="I73" s="148"/>
      <c r="J73" s="148"/>
      <c r="K73" s="149"/>
      <c r="L73" s="149" t="n">
        <f aca="false">M73+N73</f>
        <v>0</v>
      </c>
      <c r="M73" s="149"/>
      <c r="N73" s="190"/>
      <c r="O73" s="206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17"/>
      <c r="B74" s="18"/>
      <c r="C74" s="18"/>
      <c r="D74" s="18"/>
      <c r="E74" s="18"/>
      <c r="F74" s="250" t="s">
        <v>250</v>
      </c>
      <c r="G74" s="152" t="s">
        <v>26</v>
      </c>
      <c r="H74" s="176" t="n">
        <v>5</v>
      </c>
      <c r="I74" s="154" t="n">
        <v>1</v>
      </c>
      <c r="J74" s="154" t="n">
        <v>1</v>
      </c>
      <c r="K74" s="155" t="n">
        <v>2577.4</v>
      </c>
      <c r="L74" s="155" t="n">
        <f aca="false">M74+N74</f>
        <v>0</v>
      </c>
      <c r="M74" s="155"/>
      <c r="N74" s="156"/>
      <c r="O74" s="209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33"/>
      <c r="B75" s="34" t="s">
        <v>59</v>
      </c>
      <c r="C75" s="35" t="s">
        <v>20</v>
      </c>
      <c r="D75" s="95"/>
      <c r="E75" s="35" t="s">
        <v>25</v>
      </c>
      <c r="F75" s="38"/>
      <c r="G75" s="158" t="s">
        <v>22</v>
      </c>
      <c r="H75" s="169"/>
      <c r="I75" s="160"/>
      <c r="J75" s="160"/>
      <c r="K75" s="161"/>
      <c r="L75" s="161" t="n">
        <f aca="false">M75+N75</f>
        <v>0</v>
      </c>
      <c r="M75" s="161"/>
      <c r="N75" s="190"/>
      <c r="O75" s="163"/>
      <c r="P75" s="161"/>
      <c r="Q75" s="161" t="n">
        <f aca="false">R75+S75</f>
        <v>0</v>
      </c>
      <c r="R75" s="161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34"/>
      <c r="E76" s="34"/>
      <c r="F76" s="71"/>
      <c r="G76" s="164" t="s">
        <v>26</v>
      </c>
      <c r="H76" s="153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17"/>
      <c r="B77" s="18" t="s">
        <v>60</v>
      </c>
      <c r="C77" s="19" t="s">
        <v>20</v>
      </c>
      <c r="D77" s="19"/>
      <c r="E77" s="19" t="s">
        <v>21</v>
      </c>
      <c r="F77" s="22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1046.63</v>
      </c>
      <c r="L77" s="149" t="n">
        <f aca="false">M77+N77</f>
        <v>1046.63</v>
      </c>
      <c r="M77" s="149"/>
      <c r="N77" s="190" t="n">
        <v>1046.63</v>
      </c>
      <c r="O77" s="151" t="n">
        <v>2</v>
      </c>
      <c r="P77" s="149" t="n">
        <v>3855.96</v>
      </c>
      <c r="Q77" s="149" t="n">
        <f aca="false">R77+S77</f>
        <v>3855.96</v>
      </c>
      <c r="R77" s="149" t="n">
        <v>881</v>
      </c>
      <c r="S77" s="190" t="n">
        <v>2974.96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71"/>
      <c r="G78" s="164" t="s">
        <v>23</v>
      </c>
      <c r="H78" s="175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17"/>
      <c r="B79" s="18" t="s">
        <v>223</v>
      </c>
      <c r="C79" s="19" t="s">
        <v>33</v>
      </c>
      <c r="D79" s="19" t="s">
        <v>280</v>
      </c>
      <c r="E79" s="19" t="s">
        <v>259</v>
      </c>
      <c r="F79" s="20"/>
      <c r="G79" s="146" t="s">
        <v>22</v>
      </c>
      <c r="H79" s="173" t="n">
        <v>11</v>
      </c>
      <c r="I79" s="148" t="n">
        <v>4</v>
      </c>
      <c r="J79" s="148" t="n">
        <v>4</v>
      </c>
      <c r="K79" s="149" t="n">
        <v>24532.79</v>
      </c>
      <c r="L79" s="149" t="n">
        <f aca="false">M79+N79</f>
        <v>5039.32</v>
      </c>
      <c r="M79" s="149" t="n">
        <v>5039.32</v>
      </c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26" t="s">
        <v>235</v>
      </c>
      <c r="G80" s="152" t="s">
        <v>23</v>
      </c>
      <c r="H80" s="174" t="n">
        <v>24</v>
      </c>
      <c r="I80" s="154" t="n">
        <v>13</v>
      </c>
      <c r="J80" s="154" t="n">
        <v>13</v>
      </c>
      <c r="K80" s="155" t="n">
        <v>15828.92</v>
      </c>
      <c r="L80" s="155" t="n">
        <v>7075.6</v>
      </c>
      <c r="M80" s="155" t="n">
        <v>7075.6</v>
      </c>
      <c r="N80" s="156" t="n">
        <v>3981.6</v>
      </c>
      <c r="O80" s="157"/>
      <c r="P80" s="155"/>
      <c r="Q80" s="155" t="n">
        <f aca="false">R80+S80</f>
        <v>0</v>
      </c>
      <c r="R80" s="155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33"/>
      <c r="B81" s="34" t="s">
        <v>61</v>
      </c>
      <c r="C81" s="35" t="s">
        <v>33</v>
      </c>
      <c r="D81" s="56" t="s">
        <v>62</v>
      </c>
      <c r="E81" s="35" t="s">
        <v>25</v>
      </c>
      <c r="F81" s="36"/>
      <c r="G81" s="158" t="s">
        <v>22</v>
      </c>
      <c r="H81" s="159" t="n">
        <v>4</v>
      </c>
      <c r="I81" s="160" t="n">
        <v>3</v>
      </c>
      <c r="J81" s="160" t="n">
        <v>3</v>
      </c>
      <c r="K81" s="161" t="n">
        <v>4510.72</v>
      </c>
      <c r="L81" s="161" t="n">
        <f aca="false">M81+N81</f>
        <v>4510.72</v>
      </c>
      <c r="M81" s="161" t="n">
        <v>4510.72</v>
      </c>
      <c r="N81" s="190"/>
      <c r="O81" s="163" t="n">
        <v>1</v>
      </c>
      <c r="P81" s="161" t="n">
        <v>5123.54</v>
      </c>
      <c r="Q81" s="161" t="n">
        <f aca="false">R81+S81</f>
        <v>5123.54</v>
      </c>
      <c r="R81" s="161" t="n">
        <v>5123.54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33"/>
      <c r="B82" s="34"/>
      <c r="C82" s="34"/>
      <c r="D82" s="56"/>
      <c r="E82" s="35"/>
      <c r="F82" s="42" t="s">
        <v>173</v>
      </c>
      <c r="G82" s="164" t="s">
        <v>26</v>
      </c>
      <c r="H82" s="153" t="n">
        <v>4</v>
      </c>
      <c r="I82" s="165" t="n">
        <v>3</v>
      </c>
      <c r="J82" s="165" t="n">
        <v>3</v>
      </c>
      <c r="K82" s="166" t="n">
        <v>2643</v>
      </c>
      <c r="L82" s="166" t="n">
        <f aca="false">M82+N82</f>
        <v>2643</v>
      </c>
      <c r="M82" s="166" t="n">
        <f aca="false">704.8</f>
        <v>704.8</v>
      </c>
      <c r="N82" s="156" t="n">
        <v>1938.2</v>
      </c>
      <c r="O82" s="168" t="n">
        <v>2</v>
      </c>
      <c r="P82" s="166" t="n">
        <v>3171.6</v>
      </c>
      <c r="Q82" s="166" t="n">
        <f aca="false">R82+S82</f>
        <v>2907.3</v>
      </c>
      <c r="R82" s="166" t="n">
        <f aca="false">2907.3</f>
        <v>2907.3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72"/>
      <c r="B83" s="73" t="s">
        <v>63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8</v>
      </c>
      <c r="I83" s="148" t="n">
        <v>4</v>
      </c>
      <c r="J83" s="148" t="n">
        <v>5</v>
      </c>
      <c r="K83" s="149" t="n">
        <v>6604.02</v>
      </c>
      <c r="L83" s="149" t="n">
        <f aca="false">M83+N83</f>
        <v>5720.34</v>
      </c>
      <c r="M83" s="149" t="n">
        <v>1162.92</v>
      </c>
      <c r="N83" s="190" t="n">
        <v>4557.42</v>
      </c>
      <c r="O83" s="151" t="n">
        <v>9</v>
      </c>
      <c r="P83" s="149" t="n">
        <v>28668.15</v>
      </c>
      <c r="Q83" s="149" t="n">
        <f aca="false">R83+S83</f>
        <v>28668.15</v>
      </c>
      <c r="R83" s="149" t="n">
        <v>28069.07</v>
      </c>
      <c r="S83" s="190" t="n">
        <v>599.08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42" t="s">
        <v>174</v>
      </c>
      <c r="G84" s="164" t="s">
        <v>26</v>
      </c>
      <c r="H84" s="153" t="n">
        <v>7</v>
      </c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72"/>
      <c r="B85" s="73" t="s">
        <v>64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</v>
      </c>
      <c r="I85" s="148" t="n">
        <v>1</v>
      </c>
      <c r="J85" s="148" t="n">
        <v>1</v>
      </c>
      <c r="K85" s="149" t="n">
        <v>1212.02</v>
      </c>
      <c r="L85" s="149" t="n">
        <f aca="false">M85+N85</f>
        <v>0</v>
      </c>
      <c r="M85" s="149"/>
      <c r="N85" s="190"/>
      <c r="O85" s="151"/>
      <c r="P85" s="149"/>
      <c r="Q85" s="149" t="n">
        <f aca="false">R85+S85</f>
        <v>0</v>
      </c>
      <c r="R85" s="149"/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71"/>
      <c r="G86" s="164" t="s">
        <v>26</v>
      </c>
      <c r="H86" s="153"/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17"/>
      <c r="B87" s="18" t="s">
        <v>65</v>
      </c>
      <c r="C87" s="19" t="s">
        <v>33</v>
      </c>
      <c r="D87" s="19" t="s">
        <v>66</v>
      </c>
      <c r="E87" s="19" t="s">
        <v>67</v>
      </c>
      <c r="F87" s="20"/>
      <c r="G87" s="146" t="s">
        <v>22</v>
      </c>
      <c r="H87" s="159" t="n">
        <v>8</v>
      </c>
      <c r="I87" s="148" t="n">
        <v>6</v>
      </c>
      <c r="J87" s="148" t="n">
        <v>7</v>
      </c>
      <c r="K87" s="149" t="n">
        <v>8722.99</v>
      </c>
      <c r="L87" s="149" t="n">
        <f aca="false">M87+N87</f>
        <v>5752.93</v>
      </c>
      <c r="M87" s="149" t="n">
        <v>3057.07</v>
      </c>
      <c r="N87" s="190" t="n">
        <v>2695.86</v>
      </c>
      <c r="O87" s="151" t="n">
        <v>10</v>
      </c>
      <c r="P87" s="149" t="n">
        <v>43656.97</v>
      </c>
      <c r="Q87" s="149" t="n">
        <f aca="false">R87+S87</f>
        <v>43656.97</v>
      </c>
      <c r="R87" s="149" t="n">
        <v>14207.76</v>
      </c>
      <c r="S87" s="190" t="n">
        <v>29449.21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42" t="s">
        <v>236</v>
      </c>
      <c r="G88" s="164" t="s">
        <v>23</v>
      </c>
      <c r="H88" s="172" t="n">
        <v>34</v>
      </c>
      <c r="I88" s="165" t="n">
        <v>29</v>
      </c>
      <c r="J88" s="165" t="n">
        <v>29</v>
      </c>
      <c r="K88" s="166" t="n">
        <v>32865.6</v>
      </c>
      <c r="L88" s="166" t="n">
        <v>3524</v>
      </c>
      <c r="M88" s="166" t="n">
        <v>3524</v>
      </c>
      <c r="N88" s="156" t="n">
        <v>5814.6</v>
      </c>
      <c r="O88" s="168" t="n">
        <v>35</v>
      </c>
      <c r="P88" s="166" t="n">
        <v>72518.62</v>
      </c>
      <c r="Q88" s="166" t="n">
        <v>30232.1</v>
      </c>
      <c r="R88" s="166" t="n">
        <v>30232.1</v>
      </c>
      <c r="S88" s="156" t="n">
        <v>9162.4</v>
      </c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175</v>
      </c>
      <c r="C89" s="19"/>
      <c r="D89" s="19"/>
      <c r="E89" s="19"/>
      <c r="F89" s="137"/>
      <c r="G89" s="146" t="s">
        <v>22</v>
      </c>
      <c r="H89" s="147" t="n">
        <v>6</v>
      </c>
      <c r="I89" s="148" t="n">
        <v>4</v>
      </c>
      <c r="J89" s="148" t="n">
        <v>5</v>
      </c>
      <c r="K89" s="149" t="n">
        <v>7825.97</v>
      </c>
      <c r="L89" s="149" t="n">
        <f aca="false">M89+N89</f>
        <v>2035.11</v>
      </c>
      <c r="M89" s="149" t="n">
        <v>2035.11</v>
      </c>
      <c r="N89" s="190"/>
      <c r="O89" s="151"/>
      <c r="P89" s="149"/>
      <c r="Q89" s="149" t="n">
        <f aca="false">R89+S89</f>
        <v>0</v>
      </c>
      <c r="R89" s="149"/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" hidden="false" customHeight="false" outlineLevel="0" collapsed="false">
      <c r="A90" s="17"/>
      <c r="B90" s="18"/>
      <c r="C90" s="18"/>
      <c r="D90" s="18"/>
      <c r="E90" s="18"/>
      <c r="F90" s="89"/>
      <c r="G90" s="164" t="s">
        <v>26</v>
      </c>
      <c r="H90" s="178" t="n">
        <v>8</v>
      </c>
      <c r="I90" s="165" t="n">
        <v>4</v>
      </c>
      <c r="J90" s="165" t="n">
        <v>4</v>
      </c>
      <c r="K90" s="166" t="n">
        <v>7576.6</v>
      </c>
      <c r="L90" s="166" t="n">
        <f aca="false">M90+N90</f>
        <v>6343.2</v>
      </c>
      <c r="M90" s="166" t="n">
        <f aca="false">2290.6</f>
        <v>2290.6</v>
      </c>
      <c r="N90" s="156" t="n">
        <f aca="false">4052.6</f>
        <v>4052.6</v>
      </c>
      <c r="O90" s="168"/>
      <c r="P90" s="166"/>
      <c r="Q90" s="166" t="n">
        <f aca="false">R90+S90</f>
        <v>0</v>
      </c>
      <c r="R90" s="166"/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68</v>
      </c>
      <c r="C91" s="19" t="s">
        <v>20</v>
      </c>
      <c r="D91" s="19"/>
      <c r="E91" s="19" t="s">
        <v>69</v>
      </c>
      <c r="F91" s="22"/>
      <c r="G91" s="146" t="s">
        <v>22</v>
      </c>
      <c r="H91" s="147" t="n">
        <v>6</v>
      </c>
      <c r="I91" s="148" t="n">
        <v>3</v>
      </c>
      <c r="J91" s="148" t="n">
        <v>3</v>
      </c>
      <c r="K91" s="149" t="n">
        <v>4786.75</v>
      </c>
      <c r="L91" s="149" t="n">
        <f aca="false">M91+N91</f>
        <v>4786.75</v>
      </c>
      <c r="M91" s="149" t="n">
        <v>4105.29</v>
      </c>
      <c r="N91" s="190" t="n">
        <v>681.46</v>
      </c>
      <c r="O91" s="151" t="n">
        <v>15</v>
      </c>
      <c r="P91" s="149" t="n">
        <v>48957.86</v>
      </c>
      <c r="Q91" s="149" t="n">
        <f aca="false">R91+S91</f>
        <v>48957.86</v>
      </c>
      <c r="R91" s="149" t="n">
        <v>21614.18</v>
      </c>
      <c r="S91" s="190" t="n">
        <v>27343.68</v>
      </c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176</v>
      </c>
      <c r="G92" s="152" t="s">
        <v>26</v>
      </c>
      <c r="H92" s="153" t="n">
        <v>8</v>
      </c>
      <c r="I92" s="154" t="n">
        <v>3</v>
      </c>
      <c r="J92" s="154" t="n">
        <v>3</v>
      </c>
      <c r="K92" s="235" t="n">
        <v>5995.52</v>
      </c>
      <c r="L92" s="155" t="n">
        <f aca="false">M92+N92</f>
        <v>6096.52</v>
      </c>
      <c r="M92" s="155" t="n">
        <f aca="false">2819.2</f>
        <v>2819.2</v>
      </c>
      <c r="N92" s="156" t="n">
        <f aca="false">1691.52+1585.8</f>
        <v>3277.32</v>
      </c>
      <c r="O92" s="157"/>
      <c r="P92" s="155" t="n">
        <v>5462.2</v>
      </c>
      <c r="Q92" s="155" t="n">
        <f aca="false">R92+S92</f>
        <v>4405</v>
      </c>
      <c r="R92" s="155" t="n">
        <f aca="false">4405</f>
        <v>4405</v>
      </c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54"/>
      <c r="B93" s="55" t="s">
        <v>70</v>
      </c>
      <c r="C93" s="56" t="s">
        <v>20</v>
      </c>
      <c r="D93" s="56" t="s">
        <v>71</v>
      </c>
      <c r="E93" s="56" t="s">
        <v>25</v>
      </c>
      <c r="F93" s="36"/>
      <c r="G93" s="158" t="s">
        <v>22</v>
      </c>
      <c r="H93" s="169" t="n">
        <v>1</v>
      </c>
      <c r="I93" s="160"/>
      <c r="J93" s="160"/>
      <c r="K93" s="161"/>
      <c r="L93" s="161" t="n">
        <f aca="false">M93+N93</f>
        <v>0</v>
      </c>
      <c r="M93" s="161"/>
      <c r="N93" s="190"/>
      <c r="O93" s="163" t="n">
        <v>4</v>
      </c>
      <c r="P93" s="161" t="n">
        <v>27231.45</v>
      </c>
      <c r="Q93" s="161" t="n">
        <f aca="false">R93+S93</f>
        <v>7836.01</v>
      </c>
      <c r="R93" s="161" t="n">
        <v>7836.01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54"/>
      <c r="B94" s="55"/>
      <c r="C94" s="55"/>
      <c r="D94" s="55"/>
      <c r="E94" s="55"/>
      <c r="F94" s="26" t="s">
        <v>177</v>
      </c>
      <c r="G94" s="152" t="s">
        <v>26</v>
      </c>
      <c r="H94" s="153" t="n">
        <v>7</v>
      </c>
      <c r="I94" s="154" t="n">
        <v>1</v>
      </c>
      <c r="J94" s="154" t="n">
        <v>1</v>
      </c>
      <c r="K94" s="155" t="n">
        <v>1409.6</v>
      </c>
      <c r="L94" s="155" t="n">
        <f aca="false">M94+N94</f>
        <v>1409.6</v>
      </c>
      <c r="M94" s="155"/>
      <c r="N94" s="156" t="n">
        <f aca="false">1409.6</f>
        <v>1409.6</v>
      </c>
      <c r="O94" s="157"/>
      <c r="P94" s="155"/>
      <c r="Q94" s="155" t="n">
        <f aca="false">R94+S94</f>
        <v>0</v>
      </c>
      <c r="R94" s="155"/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33"/>
      <c r="B95" s="34" t="s">
        <v>72</v>
      </c>
      <c r="C95" s="35" t="s">
        <v>20</v>
      </c>
      <c r="D95" s="35"/>
      <c r="E95" s="35" t="s">
        <v>52</v>
      </c>
      <c r="F95" s="36"/>
      <c r="G95" s="146" t="s">
        <v>22</v>
      </c>
      <c r="H95" s="159" t="n">
        <v>5</v>
      </c>
      <c r="I95" s="160" t="n">
        <v>4</v>
      </c>
      <c r="J95" s="160" t="n">
        <v>4</v>
      </c>
      <c r="K95" s="161" t="n">
        <v>6532.71</v>
      </c>
      <c r="L95" s="161" t="n">
        <f aca="false">M95+N95</f>
        <v>5486.08</v>
      </c>
      <c r="M95" s="161" t="n">
        <v>5486.08</v>
      </c>
      <c r="N95" s="190"/>
      <c r="O95" s="163" t="n">
        <v>6</v>
      </c>
      <c r="P95" s="161" t="n">
        <v>44299.53</v>
      </c>
      <c r="Q95" s="161" t="n">
        <f aca="false">R95+S95</f>
        <v>44299.53</v>
      </c>
      <c r="R95" s="161" t="n">
        <v>44299.53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33"/>
      <c r="B96" s="34"/>
      <c r="C96" s="34"/>
      <c r="D96" s="34"/>
      <c r="E96" s="34"/>
      <c r="F96" s="42" t="s">
        <v>178</v>
      </c>
      <c r="G96" s="164" t="s">
        <v>26</v>
      </c>
      <c r="H96" s="171" t="n">
        <v>5</v>
      </c>
      <c r="I96" s="165" t="n">
        <v>3</v>
      </c>
      <c r="J96" s="165" t="n">
        <v>3</v>
      </c>
      <c r="K96" s="166" t="n">
        <v>2858.7</v>
      </c>
      <c r="L96" s="161" t="n">
        <f aca="false">M96+N96</f>
        <v>4052.6</v>
      </c>
      <c r="M96" s="166" t="n">
        <v>4052.6</v>
      </c>
      <c r="N96" s="156"/>
      <c r="O96" s="168" t="n">
        <v>4</v>
      </c>
      <c r="P96" s="166" t="n">
        <v>11108.48</v>
      </c>
      <c r="Q96" s="166" t="n">
        <f aca="false">R96+S96</f>
        <v>11989.48</v>
      </c>
      <c r="R96" s="166" t="n">
        <f aca="false">3347.8+8641.68</f>
        <v>11989.48</v>
      </c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73</v>
      </c>
      <c r="C97" s="19" t="s">
        <v>20</v>
      </c>
      <c r="D97" s="19"/>
      <c r="E97" s="19" t="s">
        <v>52</v>
      </c>
      <c r="F97" s="20"/>
      <c r="G97" s="146" t="s">
        <v>22</v>
      </c>
      <c r="H97" s="159" t="n">
        <v>5</v>
      </c>
      <c r="I97" s="148" t="n">
        <v>2</v>
      </c>
      <c r="J97" s="148" t="n">
        <v>2</v>
      </c>
      <c r="K97" s="149" t="n">
        <v>2277.26</v>
      </c>
      <c r="L97" s="149" t="n">
        <f aca="false">M97+N97</f>
        <v>2277.26</v>
      </c>
      <c r="M97" s="149" t="n">
        <v>2277.26</v>
      </c>
      <c r="N97" s="190"/>
      <c r="O97" s="151" t="n">
        <v>4</v>
      </c>
      <c r="P97" s="149" t="n">
        <v>11448.19</v>
      </c>
      <c r="Q97" s="149" t="n">
        <f aca="false">R97+S97</f>
        <v>10069.05</v>
      </c>
      <c r="R97" s="149" t="n">
        <v>10069.05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26" t="s">
        <v>179</v>
      </c>
      <c r="G98" s="152" t="s">
        <v>26</v>
      </c>
      <c r="H98" s="153" t="n">
        <v>7</v>
      </c>
      <c r="I98" s="154" t="n">
        <v>3</v>
      </c>
      <c r="J98" s="154" t="n">
        <v>3</v>
      </c>
      <c r="K98" s="155" t="n">
        <v>8454.6</v>
      </c>
      <c r="L98" s="155" t="n">
        <f aca="false">M98+N98</f>
        <v>12686.4</v>
      </c>
      <c r="M98" s="155" t="n">
        <v>5109.8</v>
      </c>
      <c r="N98" s="156" t="n">
        <f aca="false">4052.6+3524</f>
        <v>7576.6</v>
      </c>
      <c r="O98" s="157" t="n">
        <v>2</v>
      </c>
      <c r="P98" s="155"/>
      <c r="Q98" s="155" t="n">
        <f aca="false">R98+S98</f>
        <v>0</v>
      </c>
      <c r="R98" s="155"/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33"/>
      <c r="B99" s="34" t="s">
        <v>74</v>
      </c>
      <c r="C99" s="35" t="s">
        <v>33</v>
      </c>
      <c r="D99" s="35" t="s">
        <v>75</v>
      </c>
      <c r="E99" s="35" t="s">
        <v>25</v>
      </c>
      <c r="F99" s="36"/>
      <c r="G99" s="146" t="s">
        <v>22</v>
      </c>
      <c r="H99" s="159" t="n">
        <v>27</v>
      </c>
      <c r="I99" s="160" t="n">
        <v>23</v>
      </c>
      <c r="J99" s="160" t="n">
        <v>23</v>
      </c>
      <c r="K99" s="161" t="n">
        <v>45775.46</v>
      </c>
      <c r="L99" s="161" t="n">
        <f aca="false">M99+N99</f>
        <v>22267.64</v>
      </c>
      <c r="M99" s="161" t="n">
        <v>11782.59</v>
      </c>
      <c r="N99" s="190" t="n">
        <v>10485.05</v>
      </c>
      <c r="O99" s="163" t="n">
        <v>25</v>
      </c>
      <c r="P99" s="161" t="n">
        <v>141220.34</v>
      </c>
      <c r="Q99" s="161" t="n">
        <f aca="false">R99+S99</f>
        <v>57478.81</v>
      </c>
      <c r="R99" s="161" t="n">
        <v>42638.01</v>
      </c>
      <c r="S99" s="190" t="n">
        <v>14840.8</v>
      </c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33"/>
      <c r="B100" s="34"/>
      <c r="C100" s="34"/>
      <c r="D100" s="34"/>
      <c r="E100" s="34"/>
      <c r="F100" s="42" t="s">
        <v>270</v>
      </c>
      <c r="G100" s="164" t="s">
        <v>26</v>
      </c>
      <c r="H100" s="153"/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15858</v>
      </c>
      <c r="Q100" s="166" t="n">
        <f aca="false">R100+S100</f>
        <v>23170.3</v>
      </c>
      <c r="R100" s="166" t="n">
        <v>21936.9</v>
      </c>
      <c r="S100" s="156" t="n">
        <v>1233.4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72"/>
      <c r="B101" s="73" t="s">
        <v>76</v>
      </c>
      <c r="C101" s="74" t="s">
        <v>20</v>
      </c>
      <c r="D101" s="74" t="s">
        <v>180</v>
      </c>
      <c r="E101" s="74" t="s">
        <v>25</v>
      </c>
      <c r="F101" s="20"/>
      <c r="G101" s="146" t="s">
        <v>22</v>
      </c>
      <c r="H101" s="159" t="n">
        <v>17</v>
      </c>
      <c r="I101" s="148" t="n">
        <v>15</v>
      </c>
      <c r="J101" s="148" t="n">
        <v>15</v>
      </c>
      <c r="K101" s="149" t="n">
        <v>12723.15</v>
      </c>
      <c r="L101" s="149" t="n">
        <f aca="false">M101+N101</f>
        <v>11302.98</v>
      </c>
      <c r="M101" s="149" t="n">
        <v>5035.24</v>
      </c>
      <c r="N101" s="190" t="n">
        <v>6267.74</v>
      </c>
      <c r="O101" s="151" t="n">
        <v>2</v>
      </c>
      <c r="P101" s="149" t="n">
        <v>12380.09</v>
      </c>
      <c r="Q101" s="149" t="n">
        <f aca="false">R101+S101</f>
        <v>12380.09</v>
      </c>
      <c r="R101" s="149" t="n">
        <v>12380.09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72"/>
      <c r="B102" s="73"/>
      <c r="C102" s="73"/>
      <c r="D102" s="73"/>
      <c r="E102" s="73"/>
      <c r="F102" s="42" t="s">
        <v>181</v>
      </c>
      <c r="G102" s="164" t="s">
        <v>26</v>
      </c>
      <c r="H102" s="171" t="n">
        <v>7</v>
      </c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7</v>
      </c>
      <c r="P102" s="166" t="n">
        <v>8457.6</v>
      </c>
      <c r="Q102" s="166" t="n">
        <f aca="false">R102+S102</f>
        <v>7488.5</v>
      </c>
      <c r="R102" s="165" t="n">
        <v>6431.3</v>
      </c>
      <c r="S102" s="156" t="n">
        <v>1057.2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17"/>
      <c r="B103" s="18" t="s">
        <v>77</v>
      </c>
      <c r="C103" s="19" t="s">
        <v>38</v>
      </c>
      <c r="D103" s="19" t="s">
        <v>78</v>
      </c>
      <c r="E103" s="19" t="s">
        <v>25</v>
      </c>
      <c r="F103" s="22"/>
      <c r="G103" s="146" t="s">
        <v>22</v>
      </c>
      <c r="H103" s="169" t="n">
        <v>9</v>
      </c>
      <c r="I103" s="148" t="n">
        <v>8</v>
      </c>
      <c r="J103" s="148" t="n">
        <v>9</v>
      </c>
      <c r="K103" s="149" t="n">
        <v>7482.33</v>
      </c>
      <c r="L103" s="149" t="n">
        <f aca="false">M103+N103</f>
        <v>7482.33</v>
      </c>
      <c r="M103" s="149" t="n">
        <v>4148.63</v>
      </c>
      <c r="N103" s="190" t="n">
        <v>3333.7</v>
      </c>
      <c r="O103" s="151" t="n">
        <v>7</v>
      </c>
      <c r="P103" s="149" t="n">
        <v>12808.33</v>
      </c>
      <c r="Q103" s="149" t="n">
        <f aca="false">R103+S103</f>
        <v>12279.73</v>
      </c>
      <c r="R103" s="149" t="n">
        <v>8651.42</v>
      </c>
      <c r="S103" s="190" t="n">
        <v>3628.31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17"/>
      <c r="B104" s="18"/>
      <c r="C104" s="18"/>
      <c r="D104" s="18"/>
      <c r="E104" s="18"/>
      <c r="F104" s="80" t="s">
        <v>182</v>
      </c>
      <c r="G104" s="180" t="s">
        <v>26</v>
      </c>
      <c r="H104" s="159" t="n">
        <v>6</v>
      </c>
      <c r="I104" s="181" t="n">
        <v>1</v>
      </c>
      <c r="J104" s="181" t="n">
        <v>1</v>
      </c>
      <c r="K104" s="182" t="n">
        <v>4581.2</v>
      </c>
      <c r="L104" s="182" t="n">
        <f aca="false">M104+N104</f>
        <v>3876.4</v>
      </c>
      <c r="M104" s="182"/>
      <c r="N104" s="167" t="n">
        <f aca="false">3876.4</f>
        <v>3876.4</v>
      </c>
      <c r="O104" s="184" t="n">
        <v>8</v>
      </c>
      <c r="P104" s="182" t="n">
        <v>19029.6</v>
      </c>
      <c r="Q104" s="182" t="n">
        <f aca="false">R104+S104</f>
        <v>12686.4</v>
      </c>
      <c r="R104" s="182" t="n">
        <f aca="false">8986.2</f>
        <v>8986.2</v>
      </c>
      <c r="S104" s="167" t="n">
        <f aca="false">3700.2</f>
        <v>3700.2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false" outlineLevel="0" collapsed="false">
      <c r="A105" s="17"/>
      <c r="B105" s="18"/>
      <c r="C105" s="18"/>
      <c r="D105" s="18"/>
      <c r="E105" s="18"/>
      <c r="F105" s="85" t="s">
        <v>237</v>
      </c>
      <c r="G105" s="185" t="s">
        <v>23</v>
      </c>
      <c r="H105" s="186" t="n">
        <v>2</v>
      </c>
      <c r="I105" s="154" t="n">
        <v>2</v>
      </c>
      <c r="J105" s="154" t="n">
        <v>2</v>
      </c>
      <c r="K105" s="155" t="n">
        <v>9338.6</v>
      </c>
      <c r="L105" s="155" t="n">
        <v>1585.8</v>
      </c>
      <c r="M105" s="155" t="n">
        <v>1585.8</v>
      </c>
      <c r="N105" s="156" t="n">
        <v>3347.8</v>
      </c>
      <c r="O105" s="157" t="n">
        <v>4</v>
      </c>
      <c r="P105" s="155" t="n">
        <v>8281.4</v>
      </c>
      <c r="Q105" s="155" t="n">
        <v>7752.8</v>
      </c>
      <c r="R105" s="155" t="n">
        <v>7752.8</v>
      </c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33"/>
      <c r="B106" s="34" t="s">
        <v>79</v>
      </c>
      <c r="C106" s="35" t="s">
        <v>20</v>
      </c>
      <c r="D106" s="35"/>
      <c r="E106" s="35" t="s">
        <v>52</v>
      </c>
      <c r="F106" s="38"/>
      <c r="G106" s="146" t="s">
        <v>22</v>
      </c>
      <c r="H106" s="159" t="n">
        <v>8</v>
      </c>
      <c r="I106" s="160" t="n">
        <v>4</v>
      </c>
      <c r="J106" s="160" t="n">
        <v>5</v>
      </c>
      <c r="K106" s="161" t="n">
        <v>9915.51</v>
      </c>
      <c r="L106" s="161" t="n">
        <f aca="false">M106+N106</f>
        <v>6509.89</v>
      </c>
      <c r="M106" s="161" t="n">
        <v>5452.69</v>
      </c>
      <c r="N106" s="190" t="n">
        <v>1057.2</v>
      </c>
      <c r="O106" s="163" t="n">
        <v>9</v>
      </c>
      <c r="P106" s="161" t="n">
        <v>33475.92</v>
      </c>
      <c r="Q106" s="161" t="n">
        <f aca="false">R106+S106</f>
        <v>32771.12</v>
      </c>
      <c r="R106" s="161" t="n">
        <v>23178.94</v>
      </c>
      <c r="S106" s="190" t="n">
        <v>9592.18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42"/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/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72"/>
      <c r="B108" s="73" t="s">
        <v>80</v>
      </c>
      <c r="C108" s="74" t="s">
        <v>20</v>
      </c>
      <c r="D108" s="74"/>
      <c r="E108" s="74" t="s">
        <v>81</v>
      </c>
      <c r="F108" s="20"/>
      <c r="G108" s="146" t="s">
        <v>22</v>
      </c>
      <c r="H108" s="159" t="n">
        <v>8</v>
      </c>
      <c r="I108" s="148" t="n">
        <v>5</v>
      </c>
      <c r="J108" s="148" t="n">
        <v>6</v>
      </c>
      <c r="K108" s="149" t="n">
        <v>7909.09</v>
      </c>
      <c r="L108" s="149" t="n">
        <f aca="false">M108+N108</f>
        <v>7909.09</v>
      </c>
      <c r="M108" s="149" t="n">
        <v>6657.21</v>
      </c>
      <c r="N108" s="190" t="n">
        <v>1251.88</v>
      </c>
      <c r="O108" s="151" t="n">
        <v>1</v>
      </c>
      <c r="P108" s="149" t="n">
        <v>2381.63</v>
      </c>
      <c r="Q108" s="149" t="n">
        <f aca="false">R108+S108</f>
        <v>2381.63</v>
      </c>
      <c r="R108" s="149"/>
      <c r="S108" s="190" t="n">
        <v>2381.63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72"/>
      <c r="B109" s="73"/>
      <c r="C109" s="73"/>
      <c r="D109" s="73"/>
      <c r="E109" s="73"/>
      <c r="F109" s="42" t="s">
        <v>183</v>
      </c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 t="n">
        <v>1</v>
      </c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17"/>
      <c r="B110" s="18" t="s">
        <v>82</v>
      </c>
      <c r="C110" s="19" t="s">
        <v>20</v>
      </c>
      <c r="D110" s="19" t="s">
        <v>184</v>
      </c>
      <c r="E110" s="19" t="s">
        <v>25</v>
      </c>
      <c r="F110" s="22"/>
      <c r="G110" s="146" t="s">
        <v>22</v>
      </c>
      <c r="H110" s="159" t="n">
        <v>25</v>
      </c>
      <c r="I110" s="148" t="n">
        <v>22</v>
      </c>
      <c r="J110" s="148" t="n">
        <v>28</v>
      </c>
      <c r="K110" s="149" t="n">
        <v>36614.08</v>
      </c>
      <c r="L110" s="149" t="n">
        <f aca="false">M110+N110</f>
        <v>29760.04</v>
      </c>
      <c r="M110" s="149" t="n">
        <v>15002.32</v>
      </c>
      <c r="N110" s="190" t="n">
        <v>14757.72</v>
      </c>
      <c r="O110" s="151" t="n">
        <v>4</v>
      </c>
      <c r="P110" s="149" t="n">
        <v>25421.86</v>
      </c>
      <c r="Q110" s="149" t="n">
        <f aca="false">R110+S110</f>
        <v>16087.08</v>
      </c>
      <c r="R110" s="149" t="n">
        <v>8372.97</v>
      </c>
      <c r="S110" s="190" t="n">
        <v>7714.11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17"/>
      <c r="B111" s="18"/>
      <c r="C111" s="18"/>
      <c r="D111" s="18"/>
      <c r="E111" s="18"/>
      <c r="F111" s="42" t="s">
        <v>185</v>
      </c>
      <c r="G111" s="164" t="s">
        <v>26</v>
      </c>
      <c r="H111" s="175" t="n">
        <v>3</v>
      </c>
      <c r="I111" s="165" t="n">
        <v>2</v>
      </c>
      <c r="J111" s="165" t="n">
        <v>2</v>
      </c>
      <c r="K111" s="166" t="n">
        <v>6519.4</v>
      </c>
      <c r="L111" s="166" t="n">
        <f aca="false">M111+N111</f>
        <v>2114.4</v>
      </c>
      <c r="M111" s="166"/>
      <c r="N111" s="156" t="n">
        <v>2114.4</v>
      </c>
      <c r="O111" s="168" t="n">
        <v>2</v>
      </c>
      <c r="P111" s="166" t="n">
        <v>3171.6</v>
      </c>
      <c r="Q111" s="166" t="n">
        <f aca="false">R111+S111</f>
        <v>2643</v>
      </c>
      <c r="R111" s="166" t="n">
        <f aca="false">2643</f>
        <v>2643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254</v>
      </c>
      <c r="C112" s="19" t="s">
        <v>20</v>
      </c>
      <c r="D112" s="19"/>
      <c r="E112" s="19" t="s">
        <v>25</v>
      </c>
      <c r="F112" s="20"/>
      <c r="G112" s="204" t="s">
        <v>22</v>
      </c>
      <c r="H112" s="205"/>
      <c r="I112" s="148"/>
      <c r="J112" s="148"/>
      <c r="K112" s="149"/>
      <c r="L112" s="149"/>
      <c r="M112" s="149"/>
      <c r="N112" s="190"/>
      <c r="O112" s="206"/>
      <c r="P112" s="149"/>
      <c r="Q112" s="149"/>
      <c r="R112" s="149"/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" hidden="false" customHeight="false" outlineLevel="0" collapsed="false">
      <c r="A113" s="17"/>
      <c r="B113" s="18"/>
      <c r="C113" s="18"/>
      <c r="D113" s="18"/>
      <c r="E113" s="18"/>
      <c r="F113" s="26" t="s">
        <v>271</v>
      </c>
      <c r="G113" s="207" t="s">
        <v>26</v>
      </c>
      <c r="H113" s="208" t="n">
        <v>4</v>
      </c>
      <c r="I113" s="154"/>
      <c r="J113" s="154"/>
      <c r="K113" s="155"/>
      <c r="L113" s="155"/>
      <c r="M113" s="155"/>
      <c r="N113" s="156"/>
      <c r="O113" s="209"/>
      <c r="P113" s="155"/>
      <c r="Q113" s="155"/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54"/>
      <c r="B114" s="55" t="s">
        <v>83</v>
      </c>
      <c r="C114" s="56" t="s">
        <v>20</v>
      </c>
      <c r="D114" s="56"/>
      <c r="E114" s="56" t="s">
        <v>25</v>
      </c>
      <c r="F114" s="36"/>
      <c r="G114" s="158" t="s">
        <v>22</v>
      </c>
      <c r="H114" s="159" t="n">
        <v>13</v>
      </c>
      <c r="I114" s="160" t="n">
        <v>10</v>
      </c>
      <c r="J114" s="160" t="n">
        <v>10</v>
      </c>
      <c r="K114" s="161" t="n">
        <v>9972.74</v>
      </c>
      <c r="L114" s="161" t="n">
        <f aca="false">M114+N114</f>
        <v>9100.55</v>
      </c>
      <c r="M114" s="161" t="n">
        <v>6281.55</v>
      </c>
      <c r="N114" s="190" t="n">
        <v>2819</v>
      </c>
      <c r="O114" s="163" t="n">
        <v>5</v>
      </c>
      <c r="P114" s="161" t="n">
        <v>16326.21</v>
      </c>
      <c r="Q114" s="161" t="n">
        <f aca="false">R114+S114</f>
        <v>12699.66</v>
      </c>
      <c r="R114" s="161" t="n">
        <v>10585.46</v>
      </c>
      <c r="S114" s="190" t="n">
        <v>2114.2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54"/>
      <c r="B115" s="55"/>
      <c r="C115" s="55"/>
      <c r="D115" s="55"/>
      <c r="E115" s="55"/>
      <c r="F115" s="26" t="s">
        <v>186</v>
      </c>
      <c r="G115" s="152" t="s">
        <v>26</v>
      </c>
      <c r="H115" s="153" t="n">
        <v>4</v>
      </c>
      <c r="I115" s="154"/>
      <c r="J115" s="154"/>
      <c r="K115" s="155"/>
      <c r="L115" s="155" t="n">
        <f aca="false">M115+N115</f>
        <v>0</v>
      </c>
      <c r="M115" s="155"/>
      <c r="N115" s="156"/>
      <c r="O115" s="157" t="n">
        <v>8</v>
      </c>
      <c r="P115" s="155" t="n">
        <v>11805.4</v>
      </c>
      <c r="Q115" s="155" t="n">
        <f aca="false">R115+S115</f>
        <v>22553.6</v>
      </c>
      <c r="R115" s="155" t="n">
        <f aca="false">528.6</f>
        <v>528.6</v>
      </c>
      <c r="S115" s="156" t="n">
        <f aca="false">22025</f>
        <v>22025</v>
      </c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33"/>
      <c r="B116" s="34" t="s">
        <v>84</v>
      </c>
      <c r="C116" s="35" t="s">
        <v>20</v>
      </c>
      <c r="D116" s="35"/>
      <c r="E116" s="35" t="s">
        <v>52</v>
      </c>
      <c r="F116" s="36"/>
      <c r="G116" s="146" t="s">
        <v>22</v>
      </c>
      <c r="H116" s="159" t="n">
        <v>29</v>
      </c>
      <c r="I116" s="160" t="n">
        <v>18</v>
      </c>
      <c r="J116" s="160" t="n">
        <v>27</v>
      </c>
      <c r="K116" s="161" t="n">
        <v>49872.28</v>
      </c>
      <c r="L116" s="161" t="n">
        <f aca="false">M116+N116</f>
        <v>33320.63</v>
      </c>
      <c r="M116" s="161" t="n">
        <v>12299.99</v>
      </c>
      <c r="N116" s="190" t="n">
        <v>21020.64</v>
      </c>
      <c r="O116" s="163" t="n">
        <v>26</v>
      </c>
      <c r="P116" s="161" t="n">
        <v>50568.54</v>
      </c>
      <c r="Q116" s="161" t="n">
        <f aca="false">R116+S116</f>
        <v>48972.74</v>
      </c>
      <c r="R116" s="161" t="n">
        <v>32814.22</v>
      </c>
      <c r="S116" s="190" t="n">
        <v>16158.52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71"/>
      <c r="G117" s="164" t="s">
        <v>26</v>
      </c>
      <c r="H117" s="153"/>
      <c r="I117" s="165"/>
      <c r="J117" s="165"/>
      <c r="K117" s="166"/>
      <c r="L117" s="166" t="n">
        <f aca="false">M117+N117</f>
        <v>0</v>
      </c>
      <c r="M117" s="166"/>
      <c r="N117" s="156"/>
      <c r="O117" s="168"/>
      <c r="P117" s="166"/>
      <c r="Q117" s="166" t="n">
        <f aca="false">R117+S117</f>
        <v>0</v>
      </c>
      <c r="R117" s="166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17"/>
      <c r="B118" s="18" t="s">
        <v>85</v>
      </c>
      <c r="C118" s="19" t="s">
        <v>20</v>
      </c>
      <c r="D118" s="19"/>
      <c r="E118" s="19" t="s">
        <v>25</v>
      </c>
      <c r="F118" s="87"/>
      <c r="G118" s="146" t="s">
        <v>22</v>
      </c>
      <c r="H118" s="169" t="n">
        <v>4</v>
      </c>
      <c r="I118" s="148" t="n">
        <v>2</v>
      </c>
      <c r="J118" s="148" t="n">
        <v>2</v>
      </c>
      <c r="K118" s="149" t="n">
        <v>1080.9</v>
      </c>
      <c r="L118" s="149" t="n">
        <f aca="false">M118+N118</f>
        <v>528.6</v>
      </c>
      <c r="M118" s="149" t="n">
        <v>528.6</v>
      </c>
      <c r="N118" s="190"/>
      <c r="O118" s="151" t="n">
        <v>5</v>
      </c>
      <c r="P118" s="149" t="n">
        <v>53507.38</v>
      </c>
      <c r="Q118" s="149" t="n">
        <f aca="false">R118+S118</f>
        <v>1162.92</v>
      </c>
      <c r="R118" s="149" t="n">
        <v>1162.92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88"/>
      <c r="G119" s="152" t="s">
        <v>26</v>
      </c>
      <c r="H119" s="153"/>
      <c r="I119" s="154"/>
      <c r="J119" s="154"/>
      <c r="K119" s="155"/>
      <c r="L119" s="155" t="n">
        <f aca="false">M119+N119</f>
        <v>0</v>
      </c>
      <c r="M119" s="155"/>
      <c r="N119" s="156"/>
      <c r="O119" s="157"/>
      <c r="P119" s="155"/>
      <c r="Q119" s="155" t="n">
        <f aca="false">R119+S119</f>
        <v>0</v>
      </c>
      <c r="R119" s="155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17"/>
      <c r="B120" s="73" t="s">
        <v>86</v>
      </c>
      <c r="C120" s="74" t="s">
        <v>33</v>
      </c>
      <c r="D120" s="74" t="s">
        <v>87</v>
      </c>
      <c r="E120" s="74" t="s">
        <v>88</v>
      </c>
      <c r="F120" s="20"/>
      <c r="G120" s="146" t="s">
        <v>22</v>
      </c>
      <c r="H120" s="169" t="n">
        <v>25</v>
      </c>
      <c r="I120" s="148" t="n">
        <v>16</v>
      </c>
      <c r="J120" s="148" t="n">
        <v>19</v>
      </c>
      <c r="K120" s="149" t="n">
        <v>20527.52</v>
      </c>
      <c r="L120" s="149" t="n">
        <f aca="false">M120+N120</f>
        <v>17200.17</v>
      </c>
      <c r="M120" s="149" t="n">
        <v>11020.18</v>
      </c>
      <c r="N120" s="190" t="n">
        <v>6179.99</v>
      </c>
      <c r="O120" s="151" t="n">
        <v>16</v>
      </c>
      <c r="P120" s="149" t="n">
        <v>25230.26</v>
      </c>
      <c r="Q120" s="149" t="n">
        <f aca="false">R120+S120</f>
        <v>12627.56</v>
      </c>
      <c r="R120" s="149" t="n">
        <v>12627.56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73"/>
      <c r="C121" s="73"/>
      <c r="D121" s="73"/>
      <c r="E121" s="73"/>
      <c r="F121" s="42" t="s">
        <v>238</v>
      </c>
      <c r="G121" s="164" t="s">
        <v>23</v>
      </c>
      <c r="H121" s="171" t="n">
        <v>20</v>
      </c>
      <c r="I121" s="165" t="n">
        <v>10</v>
      </c>
      <c r="J121" s="165" t="n">
        <v>10</v>
      </c>
      <c r="K121" s="166" t="n">
        <v>10419.5</v>
      </c>
      <c r="L121" s="166" t="n">
        <v>5990.8</v>
      </c>
      <c r="M121" s="166" t="n">
        <v>5990.8</v>
      </c>
      <c r="N121" s="156"/>
      <c r="O121" s="168" t="n">
        <v>12</v>
      </c>
      <c r="P121" s="166" t="n">
        <v>28808.7</v>
      </c>
      <c r="Q121" s="166" t="n">
        <v>20527.3</v>
      </c>
      <c r="R121" s="166" t="n">
        <v>20527.3</v>
      </c>
      <c r="S121" s="156" t="n">
        <v>1585.8</v>
      </c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" hidden="false" customHeight="true" outlineLevel="0" collapsed="false">
      <c r="A122" s="17"/>
      <c r="B122" s="18" t="s">
        <v>89</v>
      </c>
      <c r="C122" s="19" t="s">
        <v>20</v>
      </c>
      <c r="D122" s="19" t="s">
        <v>90</v>
      </c>
      <c r="E122" s="19" t="s">
        <v>42</v>
      </c>
      <c r="F122" s="20"/>
      <c r="G122" s="146" t="s">
        <v>22</v>
      </c>
      <c r="H122" s="159" t="n">
        <v>22</v>
      </c>
      <c r="I122" s="148" t="n">
        <v>13</v>
      </c>
      <c r="J122" s="148" t="n">
        <v>16</v>
      </c>
      <c r="K122" s="149" t="n">
        <v>49237.49</v>
      </c>
      <c r="L122" s="149" t="n">
        <f aca="false">M122+N122</f>
        <v>41123.37</v>
      </c>
      <c r="M122" s="149" t="n">
        <v>17842.41</v>
      </c>
      <c r="N122" s="190" t="n">
        <v>23280.96</v>
      </c>
      <c r="O122" s="151" t="n">
        <v>19</v>
      </c>
      <c r="P122" s="149" t="n">
        <v>67670.88</v>
      </c>
      <c r="Q122" s="149" t="n">
        <f aca="false">R122+S122</f>
        <v>67667.88</v>
      </c>
      <c r="R122" s="149" t="n">
        <v>51532.2</v>
      </c>
      <c r="S122" s="190" t="n">
        <v>16135.68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 t="s">
        <v>239</v>
      </c>
      <c r="G123" s="152" t="s">
        <v>23</v>
      </c>
      <c r="H123" s="153"/>
      <c r="I123" s="154"/>
      <c r="J123" s="154"/>
      <c r="K123" s="155"/>
      <c r="L123" s="155" t="n">
        <f aca="false">M123+N123</f>
        <v>0</v>
      </c>
      <c r="M123" s="155"/>
      <c r="N123" s="156"/>
      <c r="O123" s="157"/>
      <c r="P123" s="155"/>
      <c r="Q123" s="155" t="n">
        <f aca="false">R123+S123</f>
        <v>0</v>
      </c>
      <c r="R123" s="155"/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 t="s">
        <v>91</v>
      </c>
      <c r="C124" s="35" t="s">
        <v>33</v>
      </c>
      <c r="D124" s="35" t="s">
        <v>92</v>
      </c>
      <c r="E124" s="35" t="s">
        <v>25</v>
      </c>
      <c r="F124" s="38" t="s">
        <v>239</v>
      </c>
      <c r="G124" s="146" t="s">
        <v>22</v>
      </c>
      <c r="H124" s="159" t="n">
        <v>23</v>
      </c>
      <c r="I124" s="160" t="n">
        <v>10</v>
      </c>
      <c r="J124" s="160" t="n">
        <v>10</v>
      </c>
      <c r="K124" s="161" t="n">
        <v>31421.82</v>
      </c>
      <c r="L124" s="161" t="n">
        <f aca="false">M124+N124</f>
        <v>23522.7</v>
      </c>
      <c r="M124" s="161" t="n">
        <v>4915.98</v>
      </c>
      <c r="N124" s="190" t="n">
        <v>18606.72</v>
      </c>
      <c r="O124" s="163" t="n">
        <v>16</v>
      </c>
      <c r="P124" s="161" t="n">
        <v>123375.91</v>
      </c>
      <c r="Q124" s="161" t="n">
        <f aca="false">R124+S124</f>
        <v>78950.02</v>
      </c>
      <c r="R124" s="161" t="n">
        <v>55873.9</v>
      </c>
      <c r="S124" s="190" t="n">
        <v>23076.12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/>
      <c r="C125" s="34"/>
      <c r="D125" s="34"/>
      <c r="E125" s="34"/>
      <c r="F125" s="89"/>
      <c r="G125" s="187" t="s">
        <v>23</v>
      </c>
      <c r="H125" s="169"/>
      <c r="I125" s="188"/>
      <c r="J125" s="188"/>
      <c r="K125" s="189"/>
      <c r="L125" s="189" t="n">
        <f aca="false">M125+N125</f>
        <v>0</v>
      </c>
      <c r="M125" s="189"/>
      <c r="N125" s="167"/>
      <c r="O125" s="191"/>
      <c r="P125" s="189"/>
      <c r="Q125" s="189" t="n">
        <f aca="false">R125+S125</f>
        <v>0</v>
      </c>
      <c r="R125" s="189"/>
      <c r="S125" s="167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187</v>
      </c>
      <c r="G126" s="164" t="s">
        <v>26</v>
      </c>
      <c r="H126" s="171" t="n">
        <v>5</v>
      </c>
      <c r="I126" s="165" t="n">
        <v>1</v>
      </c>
      <c r="J126" s="165" t="n">
        <v>2</v>
      </c>
      <c r="K126" s="166" t="n">
        <v>4193.56</v>
      </c>
      <c r="L126" s="166" t="n">
        <f aca="false">M126+N126</f>
        <v>4193.56</v>
      </c>
      <c r="M126" s="166" t="n">
        <f aca="false">2266.65+23.95</f>
        <v>2290.6</v>
      </c>
      <c r="N126" s="156" t="n">
        <v>1902.96</v>
      </c>
      <c r="O126" s="168" t="n">
        <v>10</v>
      </c>
      <c r="P126" s="166" t="n">
        <v>29143.12</v>
      </c>
      <c r="Q126" s="166" t="n">
        <f aca="false">R126+S126</f>
        <v>39891.68</v>
      </c>
      <c r="R126" s="166" t="n">
        <f aca="false">29167.43-47.9+23.95</f>
        <v>29143.48</v>
      </c>
      <c r="S126" s="156" t="n">
        <v>10748.2</v>
      </c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17"/>
      <c r="B127" s="18" t="s">
        <v>93</v>
      </c>
      <c r="C127" s="19" t="s">
        <v>20</v>
      </c>
      <c r="D127" s="49"/>
      <c r="E127" s="19" t="s">
        <v>50</v>
      </c>
      <c r="F127" s="87"/>
      <c r="G127" s="146" t="s">
        <v>22</v>
      </c>
      <c r="H127" s="169" t="n">
        <v>6</v>
      </c>
      <c r="I127" s="148"/>
      <c r="J127" s="148"/>
      <c r="K127" s="149"/>
      <c r="L127" s="149" t="n">
        <f aca="false">M127+N127</f>
        <v>0</v>
      </c>
      <c r="M127" s="149"/>
      <c r="N127" s="190"/>
      <c r="O127" s="151"/>
      <c r="P127" s="149"/>
      <c r="Q127" s="149" t="n">
        <f aca="false">R127+S127</f>
        <v>0</v>
      </c>
      <c r="R127" s="149"/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88" t="s">
        <v>188</v>
      </c>
      <c r="G128" s="152" t="s">
        <v>26</v>
      </c>
      <c r="H128" s="171" t="n">
        <v>6</v>
      </c>
      <c r="I128" s="154"/>
      <c r="J128" s="154"/>
      <c r="K128" s="155"/>
      <c r="L128" s="155" t="n">
        <f aca="false">M128+N128</f>
        <v>0</v>
      </c>
      <c r="M128" s="155"/>
      <c r="N128" s="156"/>
      <c r="O128" s="157"/>
      <c r="P128" s="155"/>
      <c r="Q128" s="155" t="n">
        <f aca="false">R128+S128</f>
        <v>0</v>
      </c>
      <c r="R128" s="155"/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" hidden="false" customHeight="true" outlineLevel="0" collapsed="false">
      <c r="A129" s="54"/>
      <c r="B129" s="55" t="s">
        <v>94</v>
      </c>
      <c r="C129" s="56" t="s">
        <v>20</v>
      </c>
      <c r="D129" s="56"/>
      <c r="E129" s="56" t="s">
        <v>52</v>
      </c>
      <c r="F129" s="36"/>
      <c r="G129" s="158" t="s">
        <v>22</v>
      </c>
      <c r="H129" s="159" t="n">
        <v>9</v>
      </c>
      <c r="I129" s="160" t="n">
        <v>6</v>
      </c>
      <c r="J129" s="160" t="n">
        <v>6</v>
      </c>
      <c r="K129" s="161" t="n">
        <v>5938.38</v>
      </c>
      <c r="L129" s="161" t="n">
        <f aca="false">M129+N129</f>
        <v>4891.75</v>
      </c>
      <c r="M129" s="161" t="n">
        <v>2133.78</v>
      </c>
      <c r="N129" s="190" t="n">
        <v>2757.97</v>
      </c>
      <c r="O129" s="163" t="n">
        <v>8</v>
      </c>
      <c r="P129" s="161" t="n">
        <v>22293.04</v>
      </c>
      <c r="Q129" s="161" t="n">
        <f aca="false">R129+S129</f>
        <v>22293.04</v>
      </c>
      <c r="R129" s="161" t="n">
        <v>17787.53</v>
      </c>
      <c r="S129" s="190" t="n">
        <v>4505.51</v>
      </c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42" t="s">
        <v>189</v>
      </c>
      <c r="G130" s="164" t="s">
        <v>26</v>
      </c>
      <c r="H130" s="171" t="n">
        <v>10</v>
      </c>
      <c r="I130" s="154" t="n">
        <v>1</v>
      </c>
      <c r="J130" s="154" t="n">
        <v>1</v>
      </c>
      <c r="K130" s="155" t="n">
        <v>2446.8</v>
      </c>
      <c r="L130" s="155" t="n">
        <f aca="false">M130+N130</f>
        <v>1938.2</v>
      </c>
      <c r="M130" s="155"/>
      <c r="N130" s="156" t="n">
        <v>1938.2</v>
      </c>
      <c r="O130" s="157" t="n">
        <v>5</v>
      </c>
      <c r="P130" s="155" t="n">
        <v>6871.8</v>
      </c>
      <c r="Q130" s="155" t="n">
        <f aca="false">R130+S130</f>
        <v>9242.4</v>
      </c>
      <c r="R130" s="155" t="n">
        <f aca="false">1585.8+1585.8</f>
        <v>3171.6</v>
      </c>
      <c r="S130" s="156" t="n">
        <v>6070.8</v>
      </c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33"/>
      <c r="B131" s="34" t="s">
        <v>95</v>
      </c>
      <c r="C131" s="35" t="s">
        <v>33</v>
      </c>
      <c r="D131" s="35" t="s">
        <v>96</v>
      </c>
      <c r="E131" s="35" t="s">
        <v>88</v>
      </c>
      <c r="F131" s="22"/>
      <c r="G131" s="146" t="s">
        <v>22</v>
      </c>
      <c r="H131" s="159" t="n">
        <v>14</v>
      </c>
      <c r="I131" s="160" t="n">
        <v>8</v>
      </c>
      <c r="J131" s="192" t="n">
        <v>8</v>
      </c>
      <c r="K131" s="161" t="n">
        <v>11316.44</v>
      </c>
      <c r="L131" s="161" t="n">
        <f aca="false">M131+N131</f>
        <v>11316.44</v>
      </c>
      <c r="M131" s="161" t="n">
        <v>11316.44</v>
      </c>
      <c r="N131" s="190"/>
      <c r="O131" s="163"/>
      <c r="P131" s="161"/>
      <c r="Q131" s="161" t="n">
        <f aca="false">R131+S131</f>
        <v>0</v>
      </c>
      <c r="R131" s="161"/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 t="s">
        <v>240</v>
      </c>
      <c r="G132" s="164" t="s">
        <v>23</v>
      </c>
      <c r="H132" s="171" t="n">
        <v>6</v>
      </c>
      <c r="I132" s="165" t="n">
        <v>4</v>
      </c>
      <c r="J132" s="165" t="n">
        <v>4</v>
      </c>
      <c r="K132" s="166" t="n">
        <v>2114.4</v>
      </c>
      <c r="L132" s="166" t="n">
        <f aca="false">M132+N132</f>
        <v>2114.4</v>
      </c>
      <c r="M132" s="166"/>
      <c r="N132" s="156" t="n">
        <v>2114.4</v>
      </c>
      <c r="O132" s="168" t="n">
        <v>2</v>
      </c>
      <c r="P132" s="166" t="n">
        <v>4405</v>
      </c>
      <c r="Q132" s="166" t="n">
        <f aca="false">R132+S132</f>
        <v>4405</v>
      </c>
      <c r="R132" s="166"/>
      <c r="S132" s="156" t="n">
        <v>4405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72"/>
      <c r="B133" s="73" t="s">
        <v>97</v>
      </c>
      <c r="C133" s="74" t="s">
        <v>20</v>
      </c>
      <c r="D133" s="74"/>
      <c r="E133" s="74" t="s">
        <v>98</v>
      </c>
      <c r="F133" s="20"/>
      <c r="G133" s="146" t="s">
        <v>22</v>
      </c>
      <c r="H133" s="159" t="n">
        <v>8</v>
      </c>
      <c r="I133" s="148" t="n">
        <v>7</v>
      </c>
      <c r="J133" s="148" t="n">
        <v>8</v>
      </c>
      <c r="K133" s="149" t="n">
        <v>16726.6</v>
      </c>
      <c r="L133" s="149" t="n">
        <f aca="false">M133+N133</f>
        <v>16726.6</v>
      </c>
      <c r="M133" s="149" t="n">
        <v>2223.64</v>
      </c>
      <c r="N133" s="190" t="n">
        <v>14502.96</v>
      </c>
      <c r="O133" s="151" t="n">
        <v>9</v>
      </c>
      <c r="P133" s="149" t="n">
        <v>43045.94</v>
      </c>
      <c r="Q133" s="149" t="n">
        <f aca="false">R133+S133</f>
        <v>39667.8</v>
      </c>
      <c r="R133" s="149" t="n">
        <v>19174.92</v>
      </c>
      <c r="S133" s="190" t="n">
        <v>20492.88</v>
      </c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72"/>
      <c r="B134" s="73"/>
      <c r="C134" s="73"/>
      <c r="D134" s="73"/>
      <c r="E134" s="73"/>
      <c r="F134" s="42" t="s">
        <v>241</v>
      </c>
      <c r="G134" s="164" t="s">
        <v>23</v>
      </c>
      <c r="H134" s="172" t="n">
        <v>19</v>
      </c>
      <c r="I134" s="165" t="n">
        <v>14</v>
      </c>
      <c r="J134" s="165" t="n">
        <v>14</v>
      </c>
      <c r="K134" s="166" t="n">
        <v>12510.2</v>
      </c>
      <c r="L134" s="166" t="n">
        <v>2605.89</v>
      </c>
      <c r="M134" s="166" t="n">
        <v>2605.89</v>
      </c>
      <c r="N134" s="156" t="n">
        <v>2680.11</v>
      </c>
      <c r="O134" s="168" t="n">
        <v>11</v>
      </c>
      <c r="P134" s="166" t="n">
        <v>28192</v>
      </c>
      <c r="Q134" s="166" t="n">
        <v>18677.2</v>
      </c>
      <c r="R134" s="166" t="n">
        <v>18677.2</v>
      </c>
      <c r="S134" s="156" t="n">
        <v>2643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 t="s">
        <v>156</v>
      </c>
      <c r="C135" s="19"/>
      <c r="D135" s="19"/>
      <c r="E135" s="19"/>
      <c r="F135" s="20"/>
      <c r="G135" s="146" t="s">
        <v>22</v>
      </c>
      <c r="H135" s="173" t="n">
        <v>23</v>
      </c>
      <c r="I135" s="148" t="n">
        <v>18</v>
      </c>
      <c r="J135" s="148" t="n">
        <v>23</v>
      </c>
      <c r="K135" s="149" t="n">
        <v>59251.48</v>
      </c>
      <c r="L135" s="149" t="n">
        <f aca="false">M135+N135</f>
        <v>55268.48</v>
      </c>
      <c r="M135" s="149" t="n">
        <v>14834.62</v>
      </c>
      <c r="N135" s="190" t="n">
        <v>40433.86</v>
      </c>
      <c r="O135" s="151"/>
      <c r="P135" s="149"/>
      <c r="Q135" s="149" t="n">
        <f aca="false">R135+S135</f>
        <v>0</v>
      </c>
      <c r="R135" s="149"/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/>
      <c r="C136" s="18"/>
      <c r="D136" s="18"/>
      <c r="E136" s="18"/>
      <c r="F136" s="89" t="s">
        <v>272</v>
      </c>
      <c r="G136" s="187" t="s">
        <v>26</v>
      </c>
      <c r="H136" s="172" t="n">
        <v>10</v>
      </c>
      <c r="I136" s="188" t="n">
        <v>5</v>
      </c>
      <c r="J136" s="188" t="n">
        <v>5</v>
      </c>
      <c r="K136" s="189" t="n">
        <v>4754.4</v>
      </c>
      <c r="L136" s="189" t="n">
        <f aca="false">M136+N136</f>
        <v>4581.2</v>
      </c>
      <c r="M136" s="189" t="n">
        <f aca="false">1233.4</f>
        <v>1233.4</v>
      </c>
      <c r="N136" s="167" t="n">
        <f aca="false">3347.8</f>
        <v>3347.8</v>
      </c>
      <c r="O136" s="191"/>
      <c r="P136" s="189"/>
      <c r="Q136" s="189" t="n">
        <f aca="false">R136+S136</f>
        <v>0</v>
      </c>
      <c r="R136" s="189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71"/>
      <c r="G137" s="164" t="s">
        <v>23</v>
      </c>
      <c r="H137" s="177"/>
      <c r="I137" s="165"/>
      <c r="J137" s="165"/>
      <c r="K137" s="166"/>
      <c r="L137" s="166" t="n">
        <f aca="false">M137+N137</f>
        <v>0</v>
      </c>
      <c r="M137" s="166"/>
      <c r="N137" s="156"/>
      <c r="O137" s="168"/>
      <c r="P137" s="166"/>
      <c r="Q137" s="166" t="n">
        <f aca="false">R137+S137</f>
        <v>0</v>
      </c>
      <c r="R137" s="166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 t="s">
        <v>190</v>
      </c>
      <c r="C138" s="19"/>
      <c r="D138" s="19"/>
      <c r="E138" s="19"/>
      <c r="F138" s="20"/>
      <c r="G138" s="146" t="s">
        <v>22</v>
      </c>
      <c r="H138" s="173" t="n">
        <v>7</v>
      </c>
      <c r="I138" s="148"/>
      <c r="J138" s="148"/>
      <c r="K138" s="149"/>
      <c r="L138" s="149" t="n">
        <f aca="false">M138+N138</f>
        <v>0</v>
      </c>
      <c r="M138" s="149"/>
      <c r="N138" s="190"/>
      <c r="O138" s="151"/>
      <c r="P138" s="149"/>
      <c r="Q138" s="149" t="n">
        <f aca="false">R138+S138</f>
        <v>0</v>
      </c>
      <c r="R138" s="149"/>
      <c r="S138" s="190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26" t="s">
        <v>242</v>
      </c>
      <c r="G139" s="152" t="s">
        <v>23</v>
      </c>
      <c r="H139" s="174" t="n">
        <v>2</v>
      </c>
      <c r="I139" s="154"/>
      <c r="J139" s="154"/>
      <c r="K139" s="155"/>
      <c r="L139" s="155" t="n">
        <f aca="false">M139+N139</f>
        <v>0</v>
      </c>
      <c r="M139" s="155"/>
      <c r="N139" s="156"/>
      <c r="O139" s="157"/>
      <c r="P139" s="155"/>
      <c r="Q139" s="155" t="n">
        <f aca="false">R139+S139</f>
        <v>0</v>
      </c>
      <c r="R139" s="155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 t="s">
        <v>99</v>
      </c>
      <c r="C140" s="56" t="s">
        <v>33</v>
      </c>
      <c r="D140" s="56" t="s">
        <v>100</v>
      </c>
      <c r="E140" s="56" t="s">
        <v>101</v>
      </c>
      <c r="F140" s="36"/>
      <c r="G140" s="158" t="s">
        <v>22</v>
      </c>
      <c r="H140" s="159" t="n">
        <v>25</v>
      </c>
      <c r="I140" s="160" t="n">
        <v>17</v>
      </c>
      <c r="J140" s="160" t="n">
        <v>17</v>
      </c>
      <c r="K140" s="161" t="n">
        <v>5109.8</v>
      </c>
      <c r="L140" s="161" t="n">
        <f aca="false">M140+N140</f>
        <v>4757.4</v>
      </c>
      <c r="M140" s="161" t="n">
        <v>4493.1</v>
      </c>
      <c r="N140" s="190" t="n">
        <v>264.3</v>
      </c>
      <c r="O140" s="163" t="n">
        <v>23</v>
      </c>
      <c r="P140" s="161" t="n">
        <v>41618.89</v>
      </c>
      <c r="Q140" s="161" t="n">
        <f aca="false">R140+S140</f>
        <v>38323.95</v>
      </c>
      <c r="R140" s="161" t="n">
        <v>27295.59</v>
      </c>
      <c r="S140" s="190" t="n">
        <v>11028.36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54"/>
      <c r="B141" s="55"/>
      <c r="C141" s="55"/>
      <c r="D141" s="55"/>
      <c r="E141" s="55"/>
      <c r="F141" s="80" t="s">
        <v>191</v>
      </c>
      <c r="G141" s="180" t="s">
        <v>26</v>
      </c>
      <c r="H141" s="169" t="n">
        <v>9</v>
      </c>
      <c r="I141" s="181" t="n">
        <v>5</v>
      </c>
      <c r="J141" s="181" t="n">
        <v>5</v>
      </c>
      <c r="K141" s="182" t="n">
        <v>4228.8</v>
      </c>
      <c r="L141" s="182" t="n">
        <f aca="false">M141+N141</f>
        <v>2643</v>
      </c>
      <c r="M141" s="182" t="n">
        <f aca="false">2643</f>
        <v>2643</v>
      </c>
      <c r="N141" s="167"/>
      <c r="O141" s="184" t="n">
        <v>3</v>
      </c>
      <c r="P141" s="182" t="n">
        <v>5374.1</v>
      </c>
      <c r="Q141" s="161" t="n">
        <f aca="false">R141+S141</f>
        <v>6607.5</v>
      </c>
      <c r="R141" s="182" t="n">
        <f aca="false">1673.9+3700.2</f>
        <v>5374.1</v>
      </c>
      <c r="S141" s="167" t="n">
        <f aca="false">1233.4</f>
        <v>1233.4</v>
      </c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/>
      <c r="C142" s="55"/>
      <c r="D142" s="55"/>
      <c r="E142" s="55"/>
      <c r="F142" s="42"/>
      <c r="G142" s="164" t="s">
        <v>23</v>
      </c>
      <c r="H142" s="175"/>
      <c r="I142" s="165"/>
      <c r="J142" s="165"/>
      <c r="K142" s="166"/>
      <c r="L142" s="166" t="n">
        <f aca="false">M142+N142</f>
        <v>0</v>
      </c>
      <c r="M142" s="166"/>
      <c r="N142" s="156"/>
      <c r="O142" s="168"/>
      <c r="P142" s="166"/>
      <c r="Q142" s="166" t="n">
        <f aca="false">R142+S142</f>
        <v>0</v>
      </c>
      <c r="R142" s="166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17"/>
      <c r="B143" s="18" t="s">
        <v>224</v>
      </c>
      <c r="C143" s="19"/>
      <c r="D143" s="19"/>
      <c r="E143" s="19"/>
      <c r="F143" s="20"/>
      <c r="G143" s="146" t="s">
        <v>22</v>
      </c>
      <c r="H143" s="147" t="n">
        <v>5</v>
      </c>
      <c r="I143" s="148" t="n">
        <v>4</v>
      </c>
      <c r="J143" s="148" t="n">
        <v>5</v>
      </c>
      <c r="K143" s="149" t="n">
        <v>4673.26</v>
      </c>
      <c r="L143" s="149" t="n">
        <f aca="false">M143+N143</f>
        <v>4673.26</v>
      </c>
      <c r="M143" s="149" t="n">
        <v>3968.46</v>
      </c>
      <c r="N143" s="190" t="n">
        <v>704.8</v>
      </c>
      <c r="O143" s="151"/>
      <c r="P143" s="149"/>
      <c r="Q143" s="149" t="n">
        <f aca="false">R143+S143</f>
        <v>0</v>
      </c>
      <c r="R143" s="149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17"/>
      <c r="B144" s="18"/>
      <c r="C144" s="18"/>
      <c r="D144" s="18"/>
      <c r="E144" s="18"/>
      <c r="F144" s="26" t="s">
        <v>273</v>
      </c>
      <c r="G144" s="152" t="s">
        <v>26</v>
      </c>
      <c r="H144" s="176" t="n">
        <v>6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102</v>
      </c>
      <c r="C145" s="35" t="s">
        <v>20</v>
      </c>
      <c r="D145" s="35"/>
      <c r="E145" s="35" t="s">
        <v>25</v>
      </c>
      <c r="F145" s="36"/>
      <c r="G145" s="158" t="s">
        <v>22</v>
      </c>
      <c r="H145" s="169" t="n">
        <v>17</v>
      </c>
      <c r="I145" s="160" t="n">
        <v>15</v>
      </c>
      <c r="J145" s="160" t="n">
        <v>15</v>
      </c>
      <c r="K145" s="161" t="n">
        <v>17408.56</v>
      </c>
      <c r="L145" s="161" t="n">
        <f aca="false">M145+N145</f>
        <v>17408.56</v>
      </c>
      <c r="M145" s="161" t="n">
        <v>14377.92</v>
      </c>
      <c r="N145" s="190" t="n">
        <v>3030.64</v>
      </c>
      <c r="O145" s="163" t="n">
        <v>8</v>
      </c>
      <c r="P145" s="161" t="n">
        <v>30446.34</v>
      </c>
      <c r="Q145" s="161" t="n">
        <f aca="false">R145+S145</f>
        <v>27296.38</v>
      </c>
      <c r="R145" s="161" t="n">
        <v>20530.3</v>
      </c>
      <c r="S145" s="190" t="n">
        <v>6766.08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192</v>
      </c>
      <c r="G146" s="164" t="s">
        <v>26</v>
      </c>
      <c r="H146" s="153" t="n">
        <v>5</v>
      </c>
      <c r="I146" s="165" t="n">
        <v>2</v>
      </c>
      <c r="J146" s="165" t="n">
        <v>2</v>
      </c>
      <c r="K146" s="166" t="n">
        <v>7400.4</v>
      </c>
      <c r="L146" s="166" t="n">
        <f aca="false">M146+N146</f>
        <v>3700.2</v>
      </c>
      <c r="M146" s="166" t="n">
        <f aca="false">3700.2</f>
        <v>3700.2</v>
      </c>
      <c r="N146" s="156"/>
      <c r="O146" s="168" t="n">
        <v>6</v>
      </c>
      <c r="P146" s="166" t="n">
        <v>5286</v>
      </c>
      <c r="Q146" s="166" t="n">
        <f aca="false">R146+S146</f>
        <v>8105.2</v>
      </c>
      <c r="R146" s="166" t="n">
        <f aca="false">6519.4</f>
        <v>6519.4</v>
      </c>
      <c r="S146" s="156" t="n">
        <f aca="false">1585.8</f>
        <v>1585.8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17"/>
      <c r="B147" s="18" t="s">
        <v>103</v>
      </c>
      <c r="C147" s="19" t="s">
        <v>20</v>
      </c>
      <c r="D147" s="19"/>
      <c r="E147" s="19" t="s">
        <v>52</v>
      </c>
      <c r="F147" s="20"/>
      <c r="G147" s="146" t="s">
        <v>22</v>
      </c>
      <c r="H147" s="169" t="n">
        <v>2</v>
      </c>
      <c r="I147" s="148" t="n">
        <v>2</v>
      </c>
      <c r="J147" s="148" t="n">
        <v>3</v>
      </c>
      <c r="K147" s="149" t="n">
        <v>8028.11</v>
      </c>
      <c r="L147" s="149" t="n">
        <f aca="false">M147+N147</f>
        <v>8028.11</v>
      </c>
      <c r="M147" s="149" t="n">
        <v>8028.11</v>
      </c>
      <c r="N147" s="190"/>
      <c r="O147" s="151" t="n">
        <v>11</v>
      </c>
      <c r="P147" s="149" t="n">
        <v>78643.31</v>
      </c>
      <c r="Q147" s="149" t="n">
        <f aca="false">R147+S147</f>
        <v>70386.17</v>
      </c>
      <c r="R147" s="149" t="n">
        <v>70386.17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17"/>
      <c r="B148" s="18"/>
      <c r="C148" s="18"/>
      <c r="D148" s="18"/>
      <c r="E148" s="18"/>
      <c r="F148" s="26" t="s">
        <v>193</v>
      </c>
      <c r="G148" s="152" t="s">
        <v>26</v>
      </c>
      <c r="H148" s="171" t="n">
        <v>10</v>
      </c>
      <c r="I148" s="154" t="n">
        <v>1</v>
      </c>
      <c r="J148" s="154" t="n">
        <v>1</v>
      </c>
      <c r="K148" s="155" t="n">
        <v>704.8</v>
      </c>
      <c r="L148" s="155" t="n">
        <f aca="false">M148+N148</f>
        <v>2466.8</v>
      </c>
      <c r="M148" s="155"/>
      <c r="N148" s="156" t="n">
        <v>2466.8</v>
      </c>
      <c r="O148" s="157" t="n">
        <v>7</v>
      </c>
      <c r="P148" s="155" t="n">
        <v>10925</v>
      </c>
      <c r="Q148" s="155" t="n">
        <f aca="false">R148+S148</f>
        <v>9867.04</v>
      </c>
      <c r="R148" s="155" t="n">
        <f aca="false">2290.6+528.6</f>
        <v>2819.2</v>
      </c>
      <c r="S148" s="156" t="n">
        <v>7047.84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54"/>
      <c r="B149" s="55" t="s">
        <v>104</v>
      </c>
      <c r="C149" s="56" t="s">
        <v>20</v>
      </c>
      <c r="D149" s="56"/>
      <c r="E149" s="56" t="s">
        <v>25</v>
      </c>
      <c r="F149" s="22"/>
      <c r="G149" s="146" t="s">
        <v>22</v>
      </c>
      <c r="H149" s="169"/>
      <c r="I149" s="160"/>
      <c r="J149" s="160"/>
      <c r="K149" s="161"/>
      <c r="L149" s="161" t="n">
        <f aca="false">M149+N149</f>
        <v>0</v>
      </c>
      <c r="M149" s="161"/>
      <c r="N149" s="190"/>
      <c r="O149" s="163" t="n">
        <v>2</v>
      </c>
      <c r="P149" s="161" t="n">
        <v>20088.08</v>
      </c>
      <c r="Q149" s="161" t="n">
        <f aca="false">R149+S149</f>
        <v>20088.08</v>
      </c>
      <c r="R149" s="161" t="n">
        <v>20088.08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54"/>
      <c r="B150" s="55"/>
      <c r="C150" s="55"/>
      <c r="D150" s="55"/>
      <c r="E150" s="55"/>
      <c r="F150" s="26" t="s">
        <v>281</v>
      </c>
      <c r="G150" s="152" t="s">
        <v>26</v>
      </c>
      <c r="H150" s="153" t="n">
        <v>3</v>
      </c>
      <c r="I150" s="154"/>
      <c r="J150" s="154"/>
      <c r="K150" s="155"/>
      <c r="L150" s="155" t="n">
        <f aca="false">M150+N150</f>
        <v>0</v>
      </c>
      <c r="M150" s="155"/>
      <c r="N150" s="15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33"/>
      <c r="B151" s="34" t="s">
        <v>105</v>
      </c>
      <c r="C151" s="35" t="s">
        <v>33</v>
      </c>
      <c r="D151" s="35" t="s">
        <v>106</v>
      </c>
      <c r="E151" s="35" t="s">
        <v>107</v>
      </c>
      <c r="F151" s="36"/>
      <c r="G151" s="146" t="s">
        <v>22</v>
      </c>
      <c r="H151" s="169" t="n">
        <v>7</v>
      </c>
      <c r="I151" s="160" t="n">
        <v>1</v>
      </c>
      <c r="J151" s="160" t="n">
        <v>1</v>
      </c>
      <c r="K151" s="161" t="n">
        <v>352.4</v>
      </c>
      <c r="L151" s="161" t="n">
        <f aca="false">M151+N151</f>
        <v>352.4</v>
      </c>
      <c r="M151" s="161"/>
      <c r="N151" s="190" t="n">
        <v>352.4</v>
      </c>
      <c r="O151" s="163" t="n">
        <v>10</v>
      </c>
      <c r="P151" s="161" t="n">
        <v>45624.44</v>
      </c>
      <c r="Q151" s="161" t="n">
        <f aca="false">R151+S151</f>
        <v>45624.44</v>
      </c>
      <c r="R151" s="161" t="n">
        <v>18435.62</v>
      </c>
      <c r="S151" s="190" t="n">
        <v>27188.82</v>
      </c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33"/>
      <c r="B152" s="34"/>
      <c r="C152" s="34"/>
      <c r="D152" s="34"/>
      <c r="E152" s="34"/>
      <c r="F152" s="42" t="s">
        <v>194</v>
      </c>
      <c r="G152" s="164" t="s">
        <v>26</v>
      </c>
      <c r="H152" s="153" t="n">
        <v>2</v>
      </c>
      <c r="I152" s="165"/>
      <c r="J152" s="165"/>
      <c r="K152" s="166"/>
      <c r="L152" s="161" t="n">
        <f aca="false">M152+N152</f>
        <v>0</v>
      </c>
      <c r="M152" s="166" t="n">
        <v>0</v>
      </c>
      <c r="N152" s="156"/>
      <c r="O152" s="168" t="n">
        <v>7</v>
      </c>
      <c r="P152" s="166" t="n">
        <v>23645.16</v>
      </c>
      <c r="Q152" s="166" t="n">
        <f aca="false">R152+S152</f>
        <v>16536.3</v>
      </c>
      <c r="R152" s="166" t="n">
        <f aca="false">4801.4+881</f>
        <v>5682.4</v>
      </c>
      <c r="S152" s="156" t="n">
        <v>10853.9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72"/>
      <c r="B153" s="73" t="s">
        <v>108</v>
      </c>
      <c r="C153" s="74" t="s">
        <v>33</v>
      </c>
      <c r="D153" s="74" t="s">
        <v>109</v>
      </c>
      <c r="E153" s="74" t="s">
        <v>25</v>
      </c>
      <c r="F153" s="20"/>
      <c r="G153" s="146" t="s">
        <v>22</v>
      </c>
      <c r="H153" s="159" t="n">
        <v>10</v>
      </c>
      <c r="I153" s="148" t="n">
        <v>10</v>
      </c>
      <c r="J153" s="148" t="n">
        <v>11</v>
      </c>
      <c r="K153" s="149" t="n">
        <v>21703.32</v>
      </c>
      <c r="L153" s="149" t="n">
        <f aca="false">M153+N153</f>
        <v>11519.11</v>
      </c>
      <c r="M153" s="149" t="n">
        <v>11519.11</v>
      </c>
      <c r="N153" s="190"/>
      <c r="O153" s="151" t="n">
        <v>21</v>
      </c>
      <c r="P153" s="149" t="n">
        <v>51042.66</v>
      </c>
      <c r="Q153" s="149" t="n">
        <f aca="false">R153+S153</f>
        <v>37928.86</v>
      </c>
      <c r="R153" s="149" t="n">
        <v>37928.86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72"/>
      <c r="B154" s="73"/>
      <c r="C154" s="73"/>
      <c r="D154" s="73"/>
      <c r="E154" s="73"/>
      <c r="F154" s="42" t="s">
        <v>195</v>
      </c>
      <c r="G154" s="164" t="s">
        <v>26</v>
      </c>
      <c r="H154" s="171" t="n">
        <v>9</v>
      </c>
      <c r="I154" s="165" t="n">
        <v>7</v>
      </c>
      <c r="J154" s="165" t="n">
        <v>7</v>
      </c>
      <c r="K154" s="166" t="n">
        <v>25240.98</v>
      </c>
      <c r="L154" s="166" t="n">
        <f aca="false">M154+N154</f>
        <v>14448.4</v>
      </c>
      <c r="M154" s="166" t="n">
        <f aca="false">6942.28</f>
        <v>6942.28</v>
      </c>
      <c r="N154" s="156" t="n">
        <f aca="false">7506.12</f>
        <v>7506.12</v>
      </c>
      <c r="O154" s="157" t="n">
        <v>12</v>
      </c>
      <c r="P154" s="155" t="n">
        <v>30218.3</v>
      </c>
      <c r="Q154" s="155" t="n">
        <f aca="false">R154+S154</f>
        <v>38112.06</v>
      </c>
      <c r="R154" s="155" t="n">
        <f aca="false">15329.4+14888.9</f>
        <v>30218.3</v>
      </c>
      <c r="S154" s="156" t="n">
        <v>7893.76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110</v>
      </c>
      <c r="C155" s="19" t="s">
        <v>33</v>
      </c>
      <c r="D155" s="19" t="s">
        <v>111</v>
      </c>
      <c r="E155" s="19" t="s">
        <v>25</v>
      </c>
      <c r="F155" s="20"/>
      <c r="G155" s="146" t="s">
        <v>22</v>
      </c>
      <c r="H155" s="159" t="n">
        <v>23</v>
      </c>
      <c r="I155" s="148" t="n">
        <v>21</v>
      </c>
      <c r="J155" s="193" t="n">
        <v>23</v>
      </c>
      <c r="K155" s="149" t="n">
        <v>22909.26</v>
      </c>
      <c r="L155" s="149" t="n">
        <f aca="false">M155+N155</f>
        <v>19498.3</v>
      </c>
      <c r="M155" s="149" t="n">
        <v>16881.73</v>
      </c>
      <c r="N155" s="190" t="n">
        <v>2616.57</v>
      </c>
      <c r="O155" s="163" t="n">
        <v>16</v>
      </c>
      <c r="P155" s="161" t="n">
        <v>59949.34</v>
      </c>
      <c r="Q155" s="161" t="n">
        <f aca="false">R155+S155</f>
        <v>50536.47</v>
      </c>
      <c r="R155" s="161" t="n">
        <v>44245.85</v>
      </c>
      <c r="S155" s="190" t="n">
        <v>6290.62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42" t="s">
        <v>196</v>
      </c>
      <c r="G156" s="164" t="s">
        <v>26</v>
      </c>
      <c r="H156" s="175" t="n">
        <v>4</v>
      </c>
      <c r="I156" s="165" t="n">
        <v>4</v>
      </c>
      <c r="J156" s="165" t="n">
        <v>3</v>
      </c>
      <c r="K156" s="166" t="n">
        <v>10296.2</v>
      </c>
      <c r="L156" s="166" t="n">
        <f aca="false">M156+N156</f>
        <v>0</v>
      </c>
      <c r="M156" s="166"/>
      <c r="N156" s="167"/>
      <c r="O156" s="168" t="n">
        <v>1</v>
      </c>
      <c r="P156" s="166"/>
      <c r="Q156" s="166" t="n">
        <f aca="false">R156+S156</f>
        <v>0</v>
      </c>
      <c r="R156" s="166"/>
      <c r="S156" s="167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17"/>
      <c r="B157" s="240" t="s">
        <v>282</v>
      </c>
      <c r="C157" s="19" t="s">
        <v>33</v>
      </c>
      <c r="D157" s="19" t="s">
        <v>283</v>
      </c>
      <c r="E157" s="19" t="s">
        <v>284</v>
      </c>
      <c r="F157" s="20"/>
      <c r="G157" s="146" t="s">
        <v>22</v>
      </c>
      <c r="H157" s="173"/>
      <c r="I157" s="148"/>
      <c r="J157" s="148"/>
      <c r="K157" s="241"/>
      <c r="L157" s="241" t="n">
        <f aca="false">M157+N157</f>
        <v>0</v>
      </c>
      <c r="M157" s="241"/>
      <c r="N157" s="150"/>
      <c r="O157" s="206"/>
      <c r="P157" s="149"/>
      <c r="Q157" s="149" t="n">
        <f aca="false">R157+S157</f>
        <v>0</v>
      </c>
      <c r="R157" s="149"/>
      <c r="S157" s="15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240"/>
      <c r="C158" s="19"/>
      <c r="D158" s="19"/>
      <c r="E158" s="19"/>
      <c r="F158" s="26" t="s">
        <v>285</v>
      </c>
      <c r="G158" s="152" t="s">
        <v>23</v>
      </c>
      <c r="H158" s="174" t="n">
        <v>5</v>
      </c>
      <c r="I158" s="154"/>
      <c r="J158" s="154"/>
      <c r="K158" s="242"/>
      <c r="L158" s="242" t="n">
        <f aca="false">M158+N158</f>
        <v>0</v>
      </c>
      <c r="M158" s="242"/>
      <c r="N158" s="156"/>
      <c r="O158" s="209"/>
      <c r="P158" s="155"/>
      <c r="Q158" s="155" t="n">
        <f aca="false">R158+S158</f>
        <v>0</v>
      </c>
      <c r="R158" s="155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33"/>
      <c r="B159" s="34" t="s">
        <v>112</v>
      </c>
      <c r="C159" s="35" t="s">
        <v>20</v>
      </c>
      <c r="D159" s="35" t="s">
        <v>197</v>
      </c>
      <c r="E159" s="35" t="s">
        <v>25</v>
      </c>
      <c r="F159" s="36"/>
      <c r="G159" s="158" t="s">
        <v>22</v>
      </c>
      <c r="H159" s="159" t="n">
        <v>18</v>
      </c>
      <c r="I159" s="160" t="n">
        <v>18</v>
      </c>
      <c r="J159" s="160" t="n">
        <v>25</v>
      </c>
      <c r="K159" s="140" t="n">
        <v>67072.06</v>
      </c>
      <c r="L159" s="140" t="n">
        <f aca="false">M159+N159</f>
        <v>56817.22</v>
      </c>
      <c r="M159" s="140" t="n">
        <v>23292.74</v>
      </c>
      <c r="N159" s="190" t="n">
        <v>33524.48</v>
      </c>
      <c r="O159" s="163" t="n">
        <v>6</v>
      </c>
      <c r="P159" s="161" t="n">
        <v>25423.03</v>
      </c>
      <c r="Q159" s="161" t="n">
        <f aca="false">R159+S159</f>
        <v>25423.03</v>
      </c>
      <c r="R159" s="161" t="n">
        <v>20244.62</v>
      </c>
      <c r="S159" s="190" t="n">
        <v>5178.41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33"/>
      <c r="B160" s="34"/>
      <c r="C160" s="34"/>
      <c r="D160" s="34"/>
      <c r="E160" s="34"/>
      <c r="F160" s="26" t="s">
        <v>198</v>
      </c>
      <c r="G160" s="152" t="s">
        <v>26</v>
      </c>
      <c r="H160" s="171" t="n">
        <v>3</v>
      </c>
      <c r="I160" s="165"/>
      <c r="J160" s="165" t="n">
        <v>1</v>
      </c>
      <c r="K160" s="166" t="n">
        <v>1762</v>
      </c>
      <c r="L160" s="166" t="n">
        <f aca="false">M160+N160</f>
        <v>1321.5</v>
      </c>
      <c r="M160" s="166"/>
      <c r="N160" s="156" t="n">
        <v>1321.5</v>
      </c>
      <c r="O160" s="168" t="n">
        <v>2</v>
      </c>
      <c r="P160" s="166" t="n">
        <v>2114.4</v>
      </c>
      <c r="Q160" s="166" t="n">
        <f aca="false">R160+S160</f>
        <v>2114.4</v>
      </c>
      <c r="R160" s="166" t="n">
        <f aca="false">2114.4</f>
        <v>2114.4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17"/>
      <c r="B161" s="18" t="s">
        <v>113</v>
      </c>
      <c r="C161" s="19" t="s">
        <v>20</v>
      </c>
      <c r="D161" s="19"/>
      <c r="E161" s="19" t="s">
        <v>31</v>
      </c>
      <c r="F161" s="36"/>
      <c r="G161" s="146" t="s">
        <v>22</v>
      </c>
      <c r="H161" s="159" t="n">
        <v>14</v>
      </c>
      <c r="I161" s="148" t="n">
        <v>9</v>
      </c>
      <c r="J161" s="148" t="n">
        <v>12</v>
      </c>
      <c r="K161" s="149" t="n">
        <v>25824.49</v>
      </c>
      <c r="L161" s="149" t="n">
        <f aca="false">M161+N161</f>
        <v>25824.49</v>
      </c>
      <c r="M161" s="149" t="n">
        <v>12303.8</v>
      </c>
      <c r="N161" s="190" t="n">
        <v>13520.69</v>
      </c>
      <c r="O161" s="151" t="n">
        <v>8</v>
      </c>
      <c r="P161" s="149" t="n">
        <v>18834.43</v>
      </c>
      <c r="Q161" s="149" t="n">
        <f aca="false">R161+S161</f>
        <v>18834.43</v>
      </c>
      <c r="R161" s="149" t="n">
        <v>9035.03</v>
      </c>
      <c r="S161" s="190" t="n">
        <v>9799.4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57"/>
      <c r="G162" s="152" t="s">
        <v>26</v>
      </c>
      <c r="H162" s="153"/>
      <c r="I162" s="154"/>
      <c r="J162" s="154"/>
      <c r="K162" s="155"/>
      <c r="L162" s="155" t="n">
        <f aca="false">M162+N162</f>
        <v>0</v>
      </c>
      <c r="M162" s="155"/>
      <c r="N162" s="156"/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true" outlineLevel="0" collapsed="false">
      <c r="A163" s="33"/>
      <c r="B163" s="34" t="s">
        <v>114</v>
      </c>
      <c r="C163" s="35" t="s">
        <v>20</v>
      </c>
      <c r="D163" s="95"/>
      <c r="E163" s="35" t="s">
        <v>25</v>
      </c>
      <c r="F163" s="71"/>
      <c r="G163" s="146" t="s">
        <v>22</v>
      </c>
      <c r="H163" s="169" t="n">
        <v>2</v>
      </c>
      <c r="I163" s="160"/>
      <c r="J163" s="160"/>
      <c r="K163" s="161"/>
      <c r="L163" s="161" t="n">
        <f aca="false">M163+N163</f>
        <v>0</v>
      </c>
      <c r="M163" s="161"/>
      <c r="N163" s="190"/>
      <c r="O163" s="163" t="n">
        <v>3</v>
      </c>
      <c r="P163" s="161" t="n">
        <v>4574.09</v>
      </c>
      <c r="Q163" s="161" t="n">
        <f aca="false">R163+S163</f>
        <v>0</v>
      </c>
      <c r="R163" s="161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42" t="s">
        <v>274</v>
      </c>
      <c r="G164" s="164" t="s">
        <v>26</v>
      </c>
      <c r="H164" s="175" t="n">
        <v>4</v>
      </c>
      <c r="I164" s="165" t="n">
        <v>3</v>
      </c>
      <c r="J164" s="165" t="n">
        <v>3</v>
      </c>
      <c r="K164" s="166" t="n">
        <v>4075.22</v>
      </c>
      <c r="L164" s="166" t="n">
        <f aca="false">M164+N164</f>
        <v>1127.68</v>
      </c>
      <c r="M164" s="166"/>
      <c r="N164" s="156" t="n">
        <f aca="false">1127.68</f>
        <v>1127.68</v>
      </c>
      <c r="O164" s="168"/>
      <c r="P164" s="166"/>
      <c r="Q164" s="166" t="n">
        <f aca="false">R164+S164</f>
        <v>0</v>
      </c>
      <c r="R164" s="166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17"/>
      <c r="B165" s="18" t="s">
        <v>243</v>
      </c>
      <c r="C165" s="219"/>
      <c r="D165" s="19"/>
      <c r="E165" s="19"/>
      <c r="F165" s="20"/>
      <c r="G165" s="146" t="s">
        <v>22</v>
      </c>
      <c r="H165" s="173" t="n">
        <v>4</v>
      </c>
      <c r="I165" s="148" t="n">
        <v>3</v>
      </c>
      <c r="J165" s="148" t="n">
        <v>3</v>
      </c>
      <c r="K165" s="149" t="n">
        <v>4326.59</v>
      </c>
      <c r="L165" s="149" t="n">
        <f aca="false">M165+N165</f>
        <v>4062.29</v>
      </c>
      <c r="M165" s="149"/>
      <c r="N165" s="190" t="n">
        <v>4062.29</v>
      </c>
      <c r="O165" s="206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26" t="s">
        <v>275</v>
      </c>
      <c r="G166" s="152" t="s">
        <v>26</v>
      </c>
      <c r="H166" s="174" t="n">
        <v>5</v>
      </c>
      <c r="I166" s="154" t="n">
        <v>2</v>
      </c>
      <c r="J166" s="154" t="n">
        <v>2</v>
      </c>
      <c r="K166" s="155" t="n">
        <v>2114.4</v>
      </c>
      <c r="L166" s="155" t="n">
        <f aca="false">M166+N166</f>
        <v>3476.14</v>
      </c>
      <c r="M166" s="155" t="n">
        <f aca="false">3476.14</f>
        <v>3476.14</v>
      </c>
      <c r="N166" s="156"/>
      <c r="O166" s="209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 t="s">
        <v>200</v>
      </c>
      <c r="C167" s="220"/>
      <c r="D167" s="56"/>
      <c r="E167" s="56"/>
      <c r="F167" s="36"/>
      <c r="G167" s="158" t="s">
        <v>22</v>
      </c>
      <c r="H167" s="159" t="n">
        <v>25</v>
      </c>
      <c r="I167" s="160" t="n">
        <v>23</v>
      </c>
      <c r="J167" s="160" t="n">
        <v>25</v>
      </c>
      <c r="K167" s="161" t="n">
        <v>34525.76</v>
      </c>
      <c r="L167" s="161" t="n">
        <f aca="false">M167+N167</f>
        <v>22458.11</v>
      </c>
      <c r="M167" s="161" t="n">
        <v>14018.13</v>
      </c>
      <c r="N167" s="190" t="n">
        <v>8439.98</v>
      </c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54"/>
      <c r="B168" s="55"/>
      <c r="C168" s="55"/>
      <c r="D168" s="55"/>
      <c r="E168" s="55"/>
      <c r="F168" s="57"/>
      <c r="G168" s="152" t="s">
        <v>26</v>
      </c>
      <c r="H168" s="174" t="n">
        <v>4</v>
      </c>
      <c r="I168" s="154" t="n">
        <v>3</v>
      </c>
      <c r="J168" s="154" t="n">
        <v>3</v>
      </c>
      <c r="K168" s="155" t="n">
        <v>4757.4</v>
      </c>
      <c r="L168" s="155" t="n">
        <f aca="false">M168+N168</f>
        <v>7224.2</v>
      </c>
      <c r="M168" s="155" t="n">
        <f aca="false">4757.4</f>
        <v>4757.4</v>
      </c>
      <c r="N168" s="156" t="n">
        <f aca="false">2466.8</f>
        <v>2466.8</v>
      </c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54"/>
      <c r="B169" s="55" t="s">
        <v>115</v>
      </c>
      <c r="C169" s="56" t="s">
        <v>20</v>
      </c>
      <c r="D169" s="56"/>
      <c r="E169" s="56" t="s">
        <v>116</v>
      </c>
      <c r="F169" s="36"/>
      <c r="G169" s="158" t="s">
        <v>22</v>
      </c>
      <c r="H169" s="159" t="n">
        <v>16</v>
      </c>
      <c r="I169" s="160" t="n">
        <v>15</v>
      </c>
      <c r="J169" s="160" t="n">
        <v>17</v>
      </c>
      <c r="K169" s="161" t="n">
        <v>15676.78</v>
      </c>
      <c r="L169" s="161" t="n">
        <f aca="false">M169+N169</f>
        <v>9503.97</v>
      </c>
      <c r="M169" s="161" t="n">
        <v>6070.98</v>
      </c>
      <c r="N169" s="190" t="n">
        <v>3432.99</v>
      </c>
      <c r="O169" s="163" t="n">
        <v>17</v>
      </c>
      <c r="P169" s="161" t="n">
        <v>40160.31</v>
      </c>
      <c r="Q169" s="161" t="n">
        <f aca="false">R169+S169</f>
        <v>38497.86</v>
      </c>
      <c r="R169" s="161" t="n">
        <v>22208.41</v>
      </c>
      <c r="S169" s="190" t="n">
        <v>16289.45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54"/>
      <c r="B170" s="55"/>
      <c r="C170" s="55"/>
      <c r="D170" s="55"/>
      <c r="E170" s="55"/>
      <c r="F170" s="42" t="s">
        <v>201</v>
      </c>
      <c r="G170" s="164" t="s">
        <v>26</v>
      </c>
      <c r="H170" s="172" t="n">
        <v>9</v>
      </c>
      <c r="I170" s="165" t="n">
        <v>4</v>
      </c>
      <c r="J170" s="165" t="n">
        <v>4</v>
      </c>
      <c r="K170" s="166" t="n">
        <v>8915.72</v>
      </c>
      <c r="L170" s="161" t="n">
        <f aca="false">M170+N170</f>
        <v>1585.8</v>
      </c>
      <c r="M170" s="166" t="n">
        <v>1585.8</v>
      </c>
      <c r="N170" s="156"/>
      <c r="O170" s="168" t="n">
        <v>8</v>
      </c>
      <c r="P170" s="166" t="n">
        <v>881</v>
      </c>
      <c r="Q170" s="166" t="n">
        <f aca="false">R170+S170</f>
        <v>5286</v>
      </c>
      <c r="R170" s="166" t="n">
        <f aca="false">881+2114.4+2290.6</f>
        <v>5286</v>
      </c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true" outlineLevel="0" collapsed="false">
      <c r="A171" s="17"/>
      <c r="B171" s="18" t="s">
        <v>157</v>
      </c>
      <c r="C171" s="19"/>
      <c r="D171" s="19"/>
      <c r="E171" s="127"/>
      <c r="F171" s="22"/>
      <c r="G171" s="146" t="s">
        <v>22</v>
      </c>
      <c r="H171" s="147" t="n">
        <v>10</v>
      </c>
      <c r="I171" s="148" t="n">
        <v>5</v>
      </c>
      <c r="J171" s="148" t="n">
        <v>6</v>
      </c>
      <c r="K171" s="149" t="n">
        <v>11119.33</v>
      </c>
      <c r="L171" s="149" t="n">
        <f aca="false">M171+N171</f>
        <v>9520.31</v>
      </c>
      <c r="M171" s="149" t="n">
        <v>3876.4</v>
      </c>
      <c r="N171" s="190" t="n">
        <v>5643.91</v>
      </c>
      <c r="O171" s="151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false" outlineLevel="0" collapsed="false">
      <c r="A172" s="17"/>
      <c r="B172" s="18"/>
      <c r="C172" s="18"/>
      <c r="D172" s="18"/>
      <c r="E172" s="127"/>
      <c r="F172" s="26" t="s">
        <v>202</v>
      </c>
      <c r="G172" s="152" t="s">
        <v>26</v>
      </c>
      <c r="H172" s="176" t="n">
        <v>2</v>
      </c>
      <c r="I172" s="154"/>
      <c r="J172" s="154"/>
      <c r="K172" s="155"/>
      <c r="L172" s="155" t="n">
        <f aca="false">M172+N172</f>
        <v>0</v>
      </c>
      <c r="M172" s="155"/>
      <c r="N172" s="156"/>
      <c r="O172" s="157" t="n">
        <v>2</v>
      </c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true" outlineLevel="0" collapsed="false">
      <c r="A173" s="33"/>
      <c r="B173" s="34" t="s">
        <v>117</v>
      </c>
      <c r="C173" s="35" t="s">
        <v>33</v>
      </c>
      <c r="D173" s="35" t="s">
        <v>118</v>
      </c>
      <c r="E173" s="74" t="s">
        <v>25</v>
      </c>
      <c r="F173" s="89"/>
      <c r="G173" s="158" t="s">
        <v>22</v>
      </c>
      <c r="H173" s="169"/>
      <c r="I173" s="160"/>
      <c r="J173" s="160"/>
      <c r="K173" s="161"/>
      <c r="L173" s="161" t="n">
        <f aca="false">M173+N173</f>
        <v>0</v>
      </c>
      <c r="M173" s="161"/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false" outlineLevel="0" collapsed="false">
      <c r="A174" s="33"/>
      <c r="B174" s="34"/>
      <c r="C174" s="34"/>
      <c r="D174" s="34"/>
      <c r="E174" s="34"/>
      <c r="F174" s="42"/>
      <c r="G174" s="158" t="s">
        <v>23</v>
      </c>
      <c r="H174" s="169"/>
      <c r="I174" s="160"/>
      <c r="J174" s="160"/>
      <c r="K174" s="161"/>
      <c r="L174" s="161" t="n">
        <f aca="false">M174+N174</f>
        <v>0</v>
      </c>
      <c r="M174" s="161"/>
      <c r="N174" s="167"/>
      <c r="O174" s="163" t="n">
        <v>2</v>
      </c>
      <c r="P174" s="161" t="n">
        <v>1762</v>
      </c>
      <c r="Q174" s="161" t="n">
        <v>1762</v>
      </c>
      <c r="R174" s="161" t="n">
        <v>1762</v>
      </c>
      <c r="S174" s="167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false" outlineLevel="0" collapsed="false">
      <c r="A175" s="33"/>
      <c r="B175" s="34"/>
      <c r="C175" s="34"/>
      <c r="D175" s="34"/>
      <c r="E175" s="34"/>
      <c r="F175" s="42"/>
      <c r="G175" s="164" t="s">
        <v>26</v>
      </c>
      <c r="H175" s="153"/>
      <c r="I175" s="165"/>
      <c r="J175" s="165"/>
      <c r="K175" s="166"/>
      <c r="L175" s="166" t="n">
        <f aca="false">M175+N175</f>
        <v>0</v>
      </c>
      <c r="M175" s="166"/>
      <c r="N175" s="156"/>
      <c r="O175" s="168" t="n">
        <v>7</v>
      </c>
      <c r="P175" s="166" t="n">
        <v>4845.5</v>
      </c>
      <c r="Q175" s="166" t="n">
        <f aca="false">R175+S175</f>
        <v>5902.7</v>
      </c>
      <c r="R175" s="166" t="n">
        <f aca="false">1762+1278.41</f>
        <v>3040.41</v>
      </c>
      <c r="S175" s="156" t="n">
        <v>2862.29</v>
      </c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17"/>
      <c r="B176" s="18" t="s">
        <v>119</v>
      </c>
      <c r="C176" s="19" t="s">
        <v>20</v>
      </c>
      <c r="D176" s="19"/>
      <c r="E176" s="19" t="s">
        <v>25</v>
      </c>
      <c r="F176" s="20"/>
      <c r="G176" s="146" t="s">
        <v>22</v>
      </c>
      <c r="H176" s="169"/>
      <c r="I176" s="148"/>
      <c r="J176" s="148"/>
      <c r="K176" s="149"/>
      <c r="L176" s="149" t="n">
        <f aca="false">M176+N176</f>
        <v>0</v>
      </c>
      <c r="M176" s="149"/>
      <c r="N176" s="190"/>
      <c r="O176" s="151" t="n">
        <v>2</v>
      </c>
      <c r="P176" s="149" t="n">
        <v>2643</v>
      </c>
      <c r="Q176" s="149" t="n">
        <f aca="false">R176+S176</f>
        <v>2643</v>
      </c>
      <c r="R176" s="149" t="n">
        <v>2643</v>
      </c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17"/>
      <c r="B177" s="18"/>
      <c r="C177" s="18"/>
      <c r="D177" s="18"/>
      <c r="E177" s="18"/>
      <c r="F177" s="42" t="s">
        <v>203</v>
      </c>
      <c r="G177" s="164" t="s">
        <v>26</v>
      </c>
      <c r="H177" s="175" t="n">
        <v>4</v>
      </c>
      <c r="I177" s="165" t="n">
        <v>2</v>
      </c>
      <c r="J177" s="165" t="n">
        <v>2</v>
      </c>
      <c r="K177" s="166" t="n">
        <v>1233.4</v>
      </c>
      <c r="L177" s="166" t="n">
        <f aca="false">M177+N177</f>
        <v>1812.59</v>
      </c>
      <c r="M177" s="166" t="n">
        <f aca="false">704.8</f>
        <v>704.8</v>
      </c>
      <c r="N177" s="156" t="n">
        <f aca="false">1107.79</f>
        <v>1107.79</v>
      </c>
      <c r="O177" s="168" t="n">
        <v>3</v>
      </c>
      <c r="P177" s="166" t="n">
        <v>7576.6</v>
      </c>
      <c r="Q177" s="166" t="n">
        <f aca="false">R177+S177</f>
        <v>11226.21</v>
      </c>
      <c r="R177" s="166" t="n">
        <f aca="false">7349.81+50.59</f>
        <v>7400.4</v>
      </c>
      <c r="S177" s="156" t="n">
        <v>3825.81</v>
      </c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17"/>
      <c r="B178" s="18" t="s">
        <v>225</v>
      </c>
      <c r="C178" s="19"/>
      <c r="D178" s="19"/>
      <c r="E178" s="19"/>
      <c r="F178" s="20"/>
      <c r="G178" s="146" t="s">
        <v>22</v>
      </c>
      <c r="H178" s="147"/>
      <c r="I178" s="148"/>
      <c r="J178" s="148"/>
      <c r="K178" s="149"/>
      <c r="L178" s="149" t="n">
        <f aca="false">M178+N178</f>
        <v>0</v>
      </c>
      <c r="M178" s="149"/>
      <c r="N178" s="190"/>
      <c r="O178" s="151"/>
      <c r="P178" s="149"/>
      <c r="Q178" s="149" t="n">
        <f aca="false">R178+S178</f>
        <v>0</v>
      </c>
      <c r="R178" s="149"/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17"/>
      <c r="B179" s="18"/>
      <c r="C179" s="18"/>
      <c r="D179" s="18"/>
      <c r="E179" s="18"/>
      <c r="F179" s="26" t="s">
        <v>244</v>
      </c>
      <c r="G179" s="152" t="s">
        <v>23</v>
      </c>
      <c r="H179" s="176" t="n">
        <v>16</v>
      </c>
      <c r="I179" s="154" t="n">
        <v>11</v>
      </c>
      <c r="J179" s="154" t="n">
        <v>11</v>
      </c>
      <c r="K179" s="155" t="n">
        <v>15020.8</v>
      </c>
      <c r="L179" s="155" t="n">
        <v>2863</v>
      </c>
      <c r="M179" s="155" t="n">
        <v>2863</v>
      </c>
      <c r="N179" s="156"/>
      <c r="O179" s="157"/>
      <c r="P179" s="155"/>
      <c r="Q179" s="155" t="n">
        <f aca="false">R179+S179</f>
        <v>0</v>
      </c>
      <c r="R179" s="155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54"/>
      <c r="B180" s="55" t="s">
        <v>120</v>
      </c>
      <c r="C180" s="56" t="s">
        <v>20</v>
      </c>
      <c r="D180" s="56"/>
      <c r="E180" s="56" t="s">
        <v>25</v>
      </c>
      <c r="F180" s="36"/>
      <c r="G180" s="158" t="s">
        <v>22</v>
      </c>
      <c r="H180" s="169"/>
      <c r="I180" s="160"/>
      <c r="J180" s="160"/>
      <c r="K180" s="161"/>
      <c r="L180" s="161" t="n">
        <f aca="false">M180+N180</f>
        <v>0</v>
      </c>
      <c r="M180" s="161"/>
      <c r="N180" s="190"/>
      <c r="O180" s="163" t="n">
        <v>3</v>
      </c>
      <c r="P180" s="161" t="n">
        <v>3063.78</v>
      </c>
      <c r="Q180" s="161" t="n">
        <f aca="false">R180+S180</f>
        <v>3063.78</v>
      </c>
      <c r="R180" s="161" t="n">
        <v>3063.78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54"/>
      <c r="B181" s="55"/>
      <c r="C181" s="55"/>
      <c r="D181" s="55"/>
      <c r="E181" s="55"/>
      <c r="F181" s="71"/>
      <c r="G181" s="164" t="s">
        <v>26</v>
      </c>
      <c r="H181" s="175"/>
      <c r="I181" s="165"/>
      <c r="J181" s="165"/>
      <c r="K181" s="166"/>
      <c r="L181" s="166" t="n">
        <f aca="false">M181+N181</f>
        <v>0</v>
      </c>
      <c r="M181" s="166"/>
      <c r="N181" s="156"/>
      <c r="O181" s="168"/>
      <c r="P181" s="166"/>
      <c r="Q181" s="166" t="n">
        <f aca="false">R181+S181</f>
        <v>0</v>
      </c>
      <c r="R181" s="166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72"/>
      <c r="B182" s="18" t="s">
        <v>158</v>
      </c>
      <c r="C182" s="74"/>
      <c r="D182" s="56" t="s">
        <v>204</v>
      </c>
      <c r="E182" s="74"/>
      <c r="F182" s="53"/>
      <c r="G182" s="146" t="s">
        <v>22</v>
      </c>
      <c r="H182" s="195"/>
      <c r="I182" s="196"/>
      <c r="J182" s="196"/>
      <c r="K182" s="197"/>
      <c r="L182" s="197" t="n">
        <f aca="false">M182+N182</f>
        <v>0</v>
      </c>
      <c r="M182" s="197"/>
      <c r="N182" s="190"/>
      <c r="O182" s="199"/>
      <c r="P182" s="197"/>
      <c r="Q182" s="197" t="n">
        <f aca="false">R182+S182</f>
        <v>0</v>
      </c>
      <c r="R182" s="197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54"/>
      <c r="B183" s="18"/>
      <c r="C183" s="56"/>
      <c r="D183" s="56"/>
      <c r="E183" s="56"/>
      <c r="F183" s="138" t="s">
        <v>205</v>
      </c>
      <c r="G183" s="152" t="s">
        <v>26</v>
      </c>
      <c r="H183" s="153" t="n">
        <v>4</v>
      </c>
      <c r="I183" s="200" t="n">
        <v>2</v>
      </c>
      <c r="J183" s="200" t="n">
        <v>2</v>
      </c>
      <c r="K183" s="201" t="n">
        <v>3524</v>
      </c>
      <c r="L183" s="201" t="n">
        <f aca="false">M183+N183</f>
        <v>0</v>
      </c>
      <c r="M183" s="201"/>
      <c r="N183" s="156"/>
      <c r="O183" s="203"/>
      <c r="P183" s="201"/>
      <c r="Q183" s="201" t="n">
        <f aca="false">R183+S183</f>
        <v>0</v>
      </c>
      <c r="R183" s="201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33"/>
      <c r="B184" s="34" t="s">
        <v>152</v>
      </c>
      <c r="C184" s="35" t="s">
        <v>20</v>
      </c>
      <c r="D184" s="35"/>
      <c r="E184" s="35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4</v>
      </c>
      <c r="P184" s="161" t="n">
        <v>7400.4</v>
      </c>
      <c r="Q184" s="161" t="n">
        <f aca="false">R184+S184</f>
        <v>7400.4</v>
      </c>
      <c r="R184" s="161" t="n">
        <v>7400.4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33"/>
      <c r="B185" s="34"/>
      <c r="C185" s="34"/>
      <c r="D185" s="34"/>
      <c r="E185" s="34"/>
      <c r="F185" s="42" t="s">
        <v>206</v>
      </c>
      <c r="G185" s="164" t="s">
        <v>26</v>
      </c>
      <c r="H185" s="171" t="n">
        <v>4</v>
      </c>
      <c r="I185" s="165"/>
      <c r="J185" s="165" t="n">
        <v>1</v>
      </c>
      <c r="K185" s="166" t="n">
        <v>704.8</v>
      </c>
      <c r="L185" s="166" t="n">
        <v>0</v>
      </c>
      <c r="M185" s="166" t="n">
        <v>0</v>
      </c>
      <c r="N185" s="156" t="n">
        <f aca="false">4228.8</f>
        <v>4228.8</v>
      </c>
      <c r="O185" s="168" t="n">
        <v>7</v>
      </c>
      <c r="P185" s="166" t="n">
        <v>7048</v>
      </c>
      <c r="Q185" s="161" t="n">
        <f aca="false">R185+S185</f>
        <v>12950.7</v>
      </c>
      <c r="R185" s="166" t="n">
        <f aca="false">2731.1+4228.8</f>
        <v>6959.9</v>
      </c>
      <c r="S185" s="156" t="n">
        <f aca="false">5990.8</f>
        <v>5990.8</v>
      </c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17"/>
      <c r="B186" s="18" t="s">
        <v>122</v>
      </c>
      <c r="C186" s="19" t="s">
        <v>20</v>
      </c>
      <c r="D186" s="19"/>
      <c r="E186" s="19" t="s">
        <v>116</v>
      </c>
      <c r="F186" s="20"/>
      <c r="G186" s="146" t="s">
        <v>22</v>
      </c>
      <c r="H186" s="159" t="n">
        <v>31</v>
      </c>
      <c r="I186" s="148" t="n">
        <v>29</v>
      </c>
      <c r="J186" s="148" t="n">
        <v>39</v>
      </c>
      <c r="K186" s="149" t="n">
        <v>63069.56</v>
      </c>
      <c r="L186" s="149" t="n">
        <f aca="false">M186+N186</f>
        <v>63069.56</v>
      </c>
      <c r="M186" s="149" t="n">
        <v>32759.12</v>
      </c>
      <c r="N186" s="190" t="n">
        <v>30310.44</v>
      </c>
      <c r="O186" s="151" t="n">
        <v>31</v>
      </c>
      <c r="P186" s="149" t="n">
        <v>112720.04</v>
      </c>
      <c r="Q186" s="149" t="n">
        <f aca="false">R186+S186</f>
        <v>112720.04</v>
      </c>
      <c r="R186" s="149" t="n">
        <v>61568.09</v>
      </c>
      <c r="S186" s="190" t="n">
        <v>51151.95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8"/>
      <c r="F187" s="57"/>
      <c r="G187" s="152" t="s">
        <v>26</v>
      </c>
      <c r="H187" s="153"/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123</v>
      </c>
      <c r="C188" s="35" t="s">
        <v>20</v>
      </c>
      <c r="D188" s="35"/>
      <c r="E188" s="35" t="s">
        <v>25</v>
      </c>
      <c r="F188" s="36"/>
      <c r="G188" s="146" t="s">
        <v>22</v>
      </c>
      <c r="H188" s="159" t="n">
        <v>6</v>
      </c>
      <c r="I188" s="160" t="n">
        <v>4</v>
      </c>
      <c r="J188" s="160" t="n">
        <v>4</v>
      </c>
      <c r="K188" s="161" t="n">
        <v>4193.56</v>
      </c>
      <c r="L188" s="161" t="n">
        <f aca="false">M188+N188</f>
        <v>4193.56</v>
      </c>
      <c r="M188" s="161" t="n">
        <v>2255.36</v>
      </c>
      <c r="N188" s="190" t="n">
        <v>1938.2</v>
      </c>
      <c r="O188" s="163" t="n">
        <v>6</v>
      </c>
      <c r="P188" s="161" t="n">
        <v>10868.41</v>
      </c>
      <c r="Q188" s="161" t="n">
        <f aca="false">R188+S188</f>
        <v>10868.41</v>
      </c>
      <c r="R188" s="161" t="n">
        <v>10868.41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207</v>
      </c>
      <c r="G189" s="164" t="s">
        <v>26</v>
      </c>
      <c r="H189" s="153" t="n">
        <v>4</v>
      </c>
      <c r="I189" s="165"/>
      <c r="J189" s="165"/>
      <c r="K189" s="166"/>
      <c r="L189" s="161" t="n">
        <f aca="false">M189+N189</f>
        <v>0</v>
      </c>
      <c r="M189" s="166" t="n">
        <v>0</v>
      </c>
      <c r="N189" s="156"/>
      <c r="O189" s="168" t="n">
        <v>1</v>
      </c>
      <c r="P189" s="166"/>
      <c r="Q189" s="166" t="n">
        <f aca="false">R189+S189</f>
        <v>881</v>
      </c>
      <c r="R189" s="166" t="n">
        <f aca="false">881</f>
        <v>881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124</v>
      </c>
      <c r="C190" s="19" t="s">
        <v>20</v>
      </c>
      <c r="D190" s="19"/>
      <c r="E190" s="19" t="s">
        <v>88</v>
      </c>
      <c r="F190" s="20"/>
      <c r="G190" s="146" t="s">
        <v>22</v>
      </c>
      <c r="H190" s="159" t="n">
        <v>16</v>
      </c>
      <c r="I190" s="148" t="n">
        <v>10</v>
      </c>
      <c r="J190" s="148" t="n">
        <v>11</v>
      </c>
      <c r="K190" s="149" t="n">
        <v>21896.56</v>
      </c>
      <c r="L190" s="149" t="n">
        <f aca="false">M190+N190</f>
        <v>9941.39</v>
      </c>
      <c r="M190" s="149" t="n">
        <v>5959.27</v>
      </c>
      <c r="N190" s="190" t="n">
        <v>3982.12</v>
      </c>
      <c r="O190" s="151" t="n">
        <v>9</v>
      </c>
      <c r="P190" s="149" t="n">
        <v>21526.95</v>
      </c>
      <c r="Q190" s="149" t="n">
        <f aca="false">R190+S190</f>
        <v>21526.95</v>
      </c>
      <c r="R190" s="149" t="n">
        <v>19070.72</v>
      </c>
      <c r="S190" s="190" t="n">
        <v>2456.23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42" t="s">
        <v>245</v>
      </c>
      <c r="G191" s="164" t="s">
        <v>23</v>
      </c>
      <c r="H191" s="172" t="n">
        <v>11</v>
      </c>
      <c r="I191" s="165" t="n">
        <v>2</v>
      </c>
      <c r="J191" s="165" t="n">
        <v>2</v>
      </c>
      <c r="K191" s="166" t="n">
        <v>396.45</v>
      </c>
      <c r="L191" s="166" t="n">
        <v>0</v>
      </c>
      <c r="M191" s="166"/>
      <c r="N191" s="156"/>
      <c r="O191" s="168" t="n">
        <v>7</v>
      </c>
      <c r="P191" s="166" t="n">
        <v>10647.7</v>
      </c>
      <c r="Q191" s="166" t="n">
        <v>8092.8</v>
      </c>
      <c r="R191" s="166" t="n">
        <v>8092.8</v>
      </c>
      <c r="S191" s="156" t="n">
        <v>969.1</v>
      </c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208</v>
      </c>
      <c r="C192" s="19"/>
      <c r="D192" s="19"/>
      <c r="E192" s="127"/>
      <c r="F192" s="20"/>
      <c r="G192" s="146" t="s">
        <v>22</v>
      </c>
      <c r="H192" s="173" t="n">
        <v>31</v>
      </c>
      <c r="I192" s="148" t="n">
        <v>25</v>
      </c>
      <c r="J192" s="148" t="n">
        <v>25</v>
      </c>
      <c r="K192" s="149" t="n">
        <v>31863.12</v>
      </c>
      <c r="L192" s="149" t="n">
        <f aca="false">M192+N192</f>
        <v>30664.96</v>
      </c>
      <c r="M192" s="149" t="n">
        <v>22735.25</v>
      </c>
      <c r="N192" s="190" t="n">
        <v>7929.71</v>
      </c>
      <c r="O192" s="151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28"/>
      <c r="F193" s="26" t="s">
        <v>246</v>
      </c>
      <c r="G193" s="152" t="s">
        <v>23</v>
      </c>
      <c r="H193" s="174" t="n">
        <v>10</v>
      </c>
      <c r="I193" s="154" t="n">
        <v>6</v>
      </c>
      <c r="J193" s="154" t="n">
        <v>6</v>
      </c>
      <c r="K193" s="155" t="n">
        <v>5436.1</v>
      </c>
      <c r="L193" s="155" t="n">
        <f aca="false">M193+N193</f>
        <v>881</v>
      </c>
      <c r="M193" s="155"/>
      <c r="N193" s="156" t="n">
        <v>881</v>
      </c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125</v>
      </c>
      <c r="C194" s="35" t="s">
        <v>33</v>
      </c>
      <c r="D194" s="35" t="s">
        <v>126</v>
      </c>
      <c r="E194" s="35" t="s">
        <v>127</v>
      </c>
      <c r="F194" s="36"/>
      <c r="G194" s="158" t="s">
        <v>22</v>
      </c>
      <c r="H194" s="159" t="n">
        <v>13</v>
      </c>
      <c r="I194" s="160" t="n">
        <v>10</v>
      </c>
      <c r="J194" s="160" t="n">
        <v>12</v>
      </c>
      <c r="K194" s="161" t="n">
        <v>33928.76</v>
      </c>
      <c r="L194" s="161" t="n">
        <f aca="false">M194+N194</f>
        <v>29800.18</v>
      </c>
      <c r="M194" s="161" t="n">
        <v>7126.5</v>
      </c>
      <c r="N194" s="190" t="n">
        <v>22673.68</v>
      </c>
      <c r="O194" s="163" t="n">
        <v>14</v>
      </c>
      <c r="P194" s="161" t="n">
        <v>33154.57</v>
      </c>
      <c r="Q194" s="161" t="n">
        <f aca="false">R194+S194</f>
        <v>33154.57</v>
      </c>
      <c r="R194" s="161" t="n">
        <v>32035.95</v>
      </c>
      <c r="S194" s="190" t="n">
        <v>1118.62</v>
      </c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/>
      <c r="G195" s="164" t="s">
        <v>23</v>
      </c>
      <c r="H195" s="171" t="n">
        <v>32</v>
      </c>
      <c r="I195" s="165" t="n">
        <v>8</v>
      </c>
      <c r="J195" s="165" t="n">
        <v>8</v>
      </c>
      <c r="K195" s="166" t="n">
        <v>13919.8</v>
      </c>
      <c r="L195" s="166" t="n">
        <v>5109.8</v>
      </c>
      <c r="M195" s="166" t="n">
        <v>5109.8</v>
      </c>
      <c r="N195" s="156" t="n">
        <v>5374.1</v>
      </c>
      <c r="O195" s="168" t="n">
        <v>19</v>
      </c>
      <c r="P195" s="166" t="n">
        <v>46951.9</v>
      </c>
      <c r="Q195" s="166" t="n">
        <v>29425.12</v>
      </c>
      <c r="R195" s="166" t="n">
        <v>29425.12</v>
      </c>
      <c r="S195" s="156" t="n">
        <v>2840.4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" hidden="false" customHeight="true" outlineLevel="0" collapsed="false">
      <c r="A196" s="17"/>
      <c r="B196" s="18" t="s">
        <v>128</v>
      </c>
      <c r="C196" s="19" t="s">
        <v>20</v>
      </c>
      <c r="D196" s="19"/>
      <c r="E196" s="19" t="s">
        <v>25</v>
      </c>
      <c r="F196" s="20"/>
      <c r="G196" s="146" t="s">
        <v>22</v>
      </c>
      <c r="H196" s="159" t="n">
        <v>20</v>
      </c>
      <c r="I196" s="148" t="n">
        <v>14</v>
      </c>
      <c r="J196" s="148" t="n">
        <v>15</v>
      </c>
      <c r="K196" s="149" t="n">
        <v>16239.71</v>
      </c>
      <c r="L196" s="149" t="n">
        <f aca="false">M196+N196</f>
        <v>13365.9</v>
      </c>
      <c r="M196" s="149" t="n">
        <v>10868.49</v>
      </c>
      <c r="N196" s="190" t="n">
        <v>2497.41</v>
      </c>
      <c r="O196" s="151" t="n">
        <v>24</v>
      </c>
      <c r="P196" s="149" t="n">
        <v>42740.26</v>
      </c>
      <c r="Q196" s="149" t="n">
        <f aca="false">R196+S196</f>
        <v>42740.26</v>
      </c>
      <c r="R196" s="149" t="n">
        <v>42740.26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71"/>
      <c r="G197" s="164" t="s">
        <v>26</v>
      </c>
      <c r="H197" s="175"/>
      <c r="I197" s="165"/>
      <c r="J197" s="165"/>
      <c r="K197" s="166"/>
      <c r="L197" s="166" t="n">
        <f aca="false">M197+N197</f>
        <v>0</v>
      </c>
      <c r="M197" s="166"/>
      <c r="N197" s="156"/>
      <c r="O197" s="168"/>
      <c r="P197" s="166"/>
      <c r="Q197" s="166" t="n">
        <f aca="false">R197+S197</f>
        <v>0</v>
      </c>
      <c r="R197" s="166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227</v>
      </c>
      <c r="C198" s="19"/>
      <c r="D198" s="19"/>
      <c r="E198" s="19"/>
      <c r="F198" s="20"/>
      <c r="G198" s="204" t="s">
        <v>22</v>
      </c>
      <c r="H198" s="173" t="n">
        <v>5</v>
      </c>
      <c r="I198" s="148" t="n">
        <v>1</v>
      </c>
      <c r="J198" s="148" t="n">
        <v>1</v>
      </c>
      <c r="K198" s="149" t="n">
        <v>621.99</v>
      </c>
      <c r="L198" s="149" t="n">
        <f aca="false">M198+N198</f>
        <v>0</v>
      </c>
      <c r="M198" s="149"/>
      <c r="N198" s="190"/>
      <c r="O198" s="206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57"/>
      <c r="G199" s="207" t="s">
        <v>26</v>
      </c>
      <c r="H199" s="174"/>
      <c r="I199" s="154"/>
      <c r="J199" s="154"/>
      <c r="K199" s="155"/>
      <c r="L199" s="155" t="n">
        <f aca="false">M199+N199</f>
        <v>0</v>
      </c>
      <c r="M199" s="155"/>
      <c r="N199" s="156"/>
      <c r="O199" s="209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129</v>
      </c>
      <c r="C200" s="35" t="s">
        <v>38</v>
      </c>
      <c r="D200" s="35" t="s">
        <v>130</v>
      </c>
      <c r="E200" s="35" t="s">
        <v>25</v>
      </c>
      <c r="F200" s="36"/>
      <c r="G200" s="158" t="s">
        <v>22</v>
      </c>
      <c r="H200" s="159" t="n">
        <v>11</v>
      </c>
      <c r="I200" s="160" t="n">
        <v>10</v>
      </c>
      <c r="J200" s="160" t="n">
        <v>10</v>
      </c>
      <c r="K200" s="161" t="n">
        <v>8519.19</v>
      </c>
      <c r="L200" s="161" t="n">
        <f aca="false">M200+N200</f>
        <v>8519.19</v>
      </c>
      <c r="M200" s="161" t="n">
        <v>5680.61</v>
      </c>
      <c r="N200" s="190" t="n">
        <v>2838.58</v>
      </c>
      <c r="O200" s="163" t="n">
        <v>5</v>
      </c>
      <c r="P200" s="161" t="n">
        <v>66458.37</v>
      </c>
      <c r="Q200" s="161" t="n">
        <f aca="false">R200+S200</f>
        <v>66458.37</v>
      </c>
      <c r="R200" s="161" t="n">
        <v>44463.45</v>
      </c>
      <c r="S200" s="190" t="n">
        <v>21994.92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 t="s">
        <v>209</v>
      </c>
      <c r="G201" s="164" t="s">
        <v>26</v>
      </c>
      <c r="H201" s="153" t="n">
        <v>5</v>
      </c>
      <c r="I201" s="165" t="n">
        <v>1</v>
      </c>
      <c r="J201" s="165" t="n">
        <v>1</v>
      </c>
      <c r="K201" s="166" t="n">
        <v>1762</v>
      </c>
      <c r="L201" s="161" t="n">
        <f aca="false">M201+N201</f>
        <v>1762</v>
      </c>
      <c r="M201" s="166" t="n">
        <v>0</v>
      </c>
      <c r="N201" s="156" t="n">
        <v>1762</v>
      </c>
      <c r="O201" s="168" t="n">
        <v>7</v>
      </c>
      <c r="P201" s="166" t="n">
        <v>20590.6</v>
      </c>
      <c r="Q201" s="166" t="n">
        <f aca="false">R201+S201</f>
        <v>22040.1</v>
      </c>
      <c r="R201" s="166" t="n">
        <f aca="false">881+881+14612.2+1409.5</f>
        <v>17783.7</v>
      </c>
      <c r="S201" s="167" t="n">
        <f aca="false">4256.4</f>
        <v>4256.4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17"/>
      <c r="B202" s="18" t="s">
        <v>131</v>
      </c>
      <c r="C202" s="19" t="s">
        <v>38</v>
      </c>
      <c r="D202" s="19" t="s">
        <v>130</v>
      </c>
      <c r="E202" s="19" t="s">
        <v>25</v>
      </c>
      <c r="F202" s="20"/>
      <c r="G202" s="146" t="s">
        <v>22</v>
      </c>
      <c r="H202" s="159" t="n">
        <v>10</v>
      </c>
      <c r="I202" s="148" t="n">
        <v>9</v>
      </c>
      <c r="J202" s="148" t="n">
        <v>14</v>
      </c>
      <c r="K202" s="149" t="n">
        <v>35102.27</v>
      </c>
      <c r="L202" s="149" t="n">
        <f aca="false">M202+N202</f>
        <v>31320.86</v>
      </c>
      <c r="M202" s="149" t="n">
        <v>25996.1</v>
      </c>
      <c r="N202" s="190" t="n">
        <v>5324.76</v>
      </c>
      <c r="O202" s="151" t="n">
        <v>16</v>
      </c>
      <c r="P202" s="149" t="n">
        <v>159038.28</v>
      </c>
      <c r="Q202" s="149" t="n">
        <f aca="false">R202+S202</f>
        <v>151501.71</v>
      </c>
      <c r="R202" s="149" t="n">
        <v>58274.05</v>
      </c>
      <c r="S202" s="198" t="n">
        <v>93227.66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17"/>
      <c r="B203" s="18"/>
      <c r="C203" s="18"/>
      <c r="D203" s="18"/>
      <c r="E203" s="18"/>
      <c r="F203" s="26" t="s">
        <v>210</v>
      </c>
      <c r="G203" s="152" t="s">
        <v>26</v>
      </c>
      <c r="H203" s="153" t="n">
        <v>4</v>
      </c>
      <c r="I203" s="154" t="n">
        <v>4</v>
      </c>
      <c r="J203" s="154" t="n">
        <v>4</v>
      </c>
      <c r="K203" s="155" t="n">
        <v>3034.9</v>
      </c>
      <c r="L203" s="155" t="n">
        <f aca="false">M203+N203</f>
        <v>2114.4</v>
      </c>
      <c r="M203" s="155" t="n">
        <f aca="false">1585.8</f>
        <v>1585.8</v>
      </c>
      <c r="N203" s="156" t="n">
        <v>528.6</v>
      </c>
      <c r="O203" s="157"/>
      <c r="P203" s="155"/>
      <c r="Q203" s="155" t="n">
        <f aca="false">R203+S203</f>
        <v>0</v>
      </c>
      <c r="R203" s="155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33"/>
      <c r="B204" s="34" t="s">
        <v>132</v>
      </c>
      <c r="C204" s="35" t="s">
        <v>20</v>
      </c>
      <c r="D204" s="35"/>
      <c r="E204" s="35" t="s">
        <v>69</v>
      </c>
      <c r="F204" s="38"/>
      <c r="G204" s="146" t="s">
        <v>22</v>
      </c>
      <c r="H204" s="159" t="n">
        <v>12</v>
      </c>
      <c r="I204" s="160" t="n">
        <v>7</v>
      </c>
      <c r="J204" s="160" t="n">
        <v>11</v>
      </c>
      <c r="K204" s="161" t="n">
        <v>23368.97</v>
      </c>
      <c r="L204" s="161" t="n">
        <f aca="false">M204+N204</f>
        <v>23368.97</v>
      </c>
      <c r="M204" s="161" t="n">
        <v>23368.97</v>
      </c>
      <c r="N204" s="190"/>
      <c r="O204" s="163" t="n">
        <v>13</v>
      </c>
      <c r="P204" s="161" t="n">
        <v>43004.3</v>
      </c>
      <c r="Q204" s="161" t="n">
        <f aca="false">R204+S204</f>
        <v>39943.71</v>
      </c>
      <c r="R204" s="161" t="n">
        <v>28827.93</v>
      </c>
      <c r="S204" s="190" t="n">
        <v>11115.78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33"/>
      <c r="B205" s="34"/>
      <c r="C205" s="34"/>
      <c r="D205" s="34"/>
      <c r="E205" s="34"/>
      <c r="F205" s="42" t="s">
        <v>211</v>
      </c>
      <c r="G205" s="164" t="s">
        <v>26</v>
      </c>
      <c r="H205" s="153" t="n">
        <v>8</v>
      </c>
      <c r="I205" s="165" t="n">
        <v>3</v>
      </c>
      <c r="J205" s="165" t="n">
        <v>3</v>
      </c>
      <c r="K205" s="166" t="n">
        <v>10184.36</v>
      </c>
      <c r="L205" s="166" t="n">
        <f aca="false">M205+N205</f>
        <v>0</v>
      </c>
      <c r="M205" s="166"/>
      <c r="N205" s="156"/>
      <c r="O205" s="168" t="n">
        <v>1</v>
      </c>
      <c r="P205" s="166" t="n">
        <v>3700.2</v>
      </c>
      <c r="Q205" s="166" t="n">
        <f aca="false">R205+S205</f>
        <v>0</v>
      </c>
      <c r="R205" s="166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72"/>
      <c r="B206" s="73" t="s">
        <v>133</v>
      </c>
      <c r="C206" s="74" t="s">
        <v>20</v>
      </c>
      <c r="D206" s="74"/>
      <c r="E206" s="74" t="s">
        <v>25</v>
      </c>
      <c r="F206" s="22"/>
      <c r="G206" s="146" t="s">
        <v>22</v>
      </c>
      <c r="H206" s="159" t="n">
        <v>4</v>
      </c>
      <c r="I206" s="148" t="n">
        <v>4</v>
      </c>
      <c r="J206" s="148" t="n">
        <v>5</v>
      </c>
      <c r="K206" s="149" t="n">
        <v>7984.73</v>
      </c>
      <c r="L206" s="149" t="n">
        <f aca="false">M206+N206</f>
        <v>7984.73</v>
      </c>
      <c r="M206" s="149" t="n">
        <v>2784.03</v>
      </c>
      <c r="N206" s="190" t="n">
        <v>5200.7</v>
      </c>
      <c r="O206" s="151" t="n">
        <v>2</v>
      </c>
      <c r="P206" s="149" t="n">
        <v>4329.79</v>
      </c>
      <c r="Q206" s="149" t="n">
        <f aca="false">R206+S206</f>
        <v>4329.79</v>
      </c>
      <c r="R206" s="149" t="n">
        <v>4329.79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6.5" hidden="false" customHeight="true" outlineLevel="0" collapsed="false">
      <c r="A207" s="72"/>
      <c r="B207" s="73"/>
      <c r="C207" s="73"/>
      <c r="D207" s="73"/>
      <c r="E207" s="73"/>
      <c r="F207" s="42" t="s">
        <v>212</v>
      </c>
      <c r="G207" s="164" t="s">
        <v>26</v>
      </c>
      <c r="H207" s="171" t="n">
        <v>4</v>
      </c>
      <c r="I207" s="165" t="n">
        <v>1</v>
      </c>
      <c r="J207" s="165" t="n">
        <v>1</v>
      </c>
      <c r="K207" s="166" t="n">
        <v>1409.6</v>
      </c>
      <c r="L207" s="166" t="n">
        <f aca="false">M207+N207</f>
        <v>1409.6</v>
      </c>
      <c r="M207" s="166" t="n">
        <f aca="false">1409.6</f>
        <v>1409.6</v>
      </c>
      <c r="N207" s="156"/>
      <c r="O207" s="168" t="n">
        <v>2</v>
      </c>
      <c r="P207" s="166" t="n">
        <v>1321.5</v>
      </c>
      <c r="Q207" s="166" t="n">
        <f aca="false">R207+S207</f>
        <v>2907.3</v>
      </c>
      <c r="R207" s="166" t="n">
        <f aca="false">1321.5</f>
        <v>1321.5</v>
      </c>
      <c r="S207" s="156" t="n">
        <v>1585.8</v>
      </c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72"/>
      <c r="B208" s="73" t="s">
        <v>134</v>
      </c>
      <c r="C208" s="74" t="s">
        <v>20</v>
      </c>
      <c r="D208" s="74"/>
      <c r="E208" s="74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 t="n">
        <v>1</v>
      </c>
      <c r="P208" s="149" t="n">
        <v>13019.26</v>
      </c>
      <c r="Q208" s="149" t="n">
        <f aca="false">R208+S208</f>
        <v>13019.26</v>
      </c>
      <c r="R208" s="149" t="n">
        <v>13019.26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72"/>
      <c r="B209" s="73"/>
      <c r="C209" s="73"/>
      <c r="D209" s="73"/>
      <c r="E209" s="73"/>
      <c r="F209" s="42" t="s">
        <v>213</v>
      </c>
      <c r="G209" s="164" t="s">
        <v>26</v>
      </c>
      <c r="H209" s="153" t="n">
        <v>3</v>
      </c>
      <c r="I209" s="165" t="n">
        <v>1</v>
      </c>
      <c r="J209" s="165" t="n">
        <v>1</v>
      </c>
      <c r="K209" s="166" t="n">
        <v>552.3</v>
      </c>
      <c r="L209" s="166" t="n">
        <f aca="false">M209+N209</f>
        <v>0</v>
      </c>
      <c r="M209" s="166"/>
      <c r="N209" s="156"/>
      <c r="O209" s="168" t="n">
        <v>6</v>
      </c>
      <c r="P209" s="166" t="n">
        <v>23840.15</v>
      </c>
      <c r="Q209" s="166" t="n">
        <f aca="false">R209+S209</f>
        <v>28509.42</v>
      </c>
      <c r="R209" s="166" t="n">
        <f aca="false">19875.62</f>
        <v>19875.62</v>
      </c>
      <c r="S209" s="156" t="n">
        <f aca="false">8633.8</f>
        <v>8633.8</v>
      </c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" hidden="false" customHeight="true" outlineLevel="0" collapsed="false">
      <c r="A210" s="17"/>
      <c r="B210" s="18" t="s">
        <v>135</v>
      </c>
      <c r="C210" s="19" t="s">
        <v>20</v>
      </c>
      <c r="D210" s="19"/>
      <c r="E210" s="19" t="s">
        <v>69</v>
      </c>
      <c r="F210" s="22"/>
      <c r="G210" s="146" t="s">
        <v>22</v>
      </c>
      <c r="H210" s="159" t="n">
        <v>13</v>
      </c>
      <c r="I210" s="148" t="n">
        <v>7</v>
      </c>
      <c r="J210" s="148" t="n">
        <v>8</v>
      </c>
      <c r="K210" s="149" t="n">
        <v>16414.76</v>
      </c>
      <c r="L210" s="149" t="n">
        <f aca="false">M210+N210</f>
        <v>11754.09</v>
      </c>
      <c r="M210" s="149" t="n">
        <v>4158.32</v>
      </c>
      <c r="N210" s="190" t="n">
        <v>7595.77</v>
      </c>
      <c r="O210" s="151" t="n">
        <v>13</v>
      </c>
      <c r="P210" s="149" t="n">
        <v>42132.95</v>
      </c>
      <c r="Q210" s="149" t="n">
        <f aca="false">R210+S210</f>
        <v>42132.95</v>
      </c>
      <c r="R210" s="149" t="n">
        <v>16446.2</v>
      </c>
      <c r="S210" s="190" t="n">
        <v>25686.75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17"/>
      <c r="B211" s="18"/>
      <c r="C211" s="18"/>
      <c r="D211" s="18"/>
      <c r="E211" s="18"/>
      <c r="F211" s="26" t="s">
        <v>277</v>
      </c>
      <c r="G211" s="152" t="s">
        <v>26</v>
      </c>
      <c r="H211" s="171" t="n">
        <v>7</v>
      </c>
      <c r="I211" s="154"/>
      <c r="J211" s="154" t="n">
        <v>2</v>
      </c>
      <c r="K211" s="155" t="n">
        <v>1409.6</v>
      </c>
      <c r="L211" s="155" t="n">
        <f aca="false">M211+N211</f>
        <v>0</v>
      </c>
      <c r="M211" s="155"/>
      <c r="N211" s="156"/>
      <c r="O211" s="157" t="n">
        <v>2</v>
      </c>
      <c r="P211" s="155" t="n">
        <v>2292.9</v>
      </c>
      <c r="Q211" s="155" t="n">
        <f aca="false">R211+S211</f>
        <v>792.9</v>
      </c>
      <c r="R211" s="155" t="n">
        <f aca="false">792.9</f>
        <v>792.9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33"/>
      <c r="B212" s="34" t="s">
        <v>136</v>
      </c>
      <c r="C212" s="35" t="s">
        <v>20</v>
      </c>
      <c r="D212" s="35"/>
      <c r="E212" s="35" t="s">
        <v>98</v>
      </c>
      <c r="F212" s="36"/>
      <c r="G212" s="146" t="s">
        <v>22</v>
      </c>
      <c r="H212" s="159" t="n">
        <v>21</v>
      </c>
      <c r="I212" s="160" t="n">
        <v>14</v>
      </c>
      <c r="J212" s="160" t="n">
        <v>21</v>
      </c>
      <c r="K212" s="161" t="n">
        <v>39745.81</v>
      </c>
      <c r="L212" s="161" t="n">
        <f aca="false">M212+N212</f>
        <v>27069.8</v>
      </c>
      <c r="M212" s="161" t="n">
        <v>20218.61</v>
      </c>
      <c r="N212" s="190" t="n">
        <v>6851.19</v>
      </c>
      <c r="O212" s="163" t="n">
        <v>11</v>
      </c>
      <c r="P212" s="161" t="n">
        <v>23371.27</v>
      </c>
      <c r="Q212" s="161" t="n">
        <f aca="false">R212+S212</f>
        <v>14877.54</v>
      </c>
      <c r="R212" s="161" t="n">
        <v>14877.54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247</v>
      </c>
      <c r="G213" s="164" t="s">
        <v>23</v>
      </c>
      <c r="H213" s="171" t="n">
        <v>6</v>
      </c>
      <c r="I213" s="165" t="n">
        <v>6</v>
      </c>
      <c r="J213" s="165" t="n">
        <v>6</v>
      </c>
      <c r="K213" s="166" t="n">
        <v>4581.2</v>
      </c>
      <c r="L213" s="166" t="n">
        <f aca="false">M213+N213</f>
        <v>4052.6</v>
      </c>
      <c r="M213" s="166" t="n">
        <v>4052.6</v>
      </c>
      <c r="N213" s="156"/>
      <c r="O213" s="168" t="n">
        <v>8</v>
      </c>
      <c r="P213" s="166" t="n">
        <v>15505.6</v>
      </c>
      <c r="Q213" s="166" t="n">
        <v>5638.4</v>
      </c>
      <c r="R213" s="166" t="n">
        <v>5638.4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137</v>
      </c>
      <c r="C214" s="19" t="s">
        <v>20</v>
      </c>
      <c r="D214" s="19"/>
      <c r="E214" s="19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9</v>
      </c>
      <c r="P214" s="149" t="n">
        <v>31532.37</v>
      </c>
      <c r="Q214" s="149" t="n">
        <f aca="false">R214+S214</f>
        <v>0</v>
      </c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20.25" hidden="false" customHeight="true" outlineLevel="0" collapsed="false">
      <c r="A215" s="17"/>
      <c r="B215" s="18"/>
      <c r="C215" s="18"/>
      <c r="D215" s="18"/>
      <c r="E215" s="18"/>
      <c r="F215" s="26" t="s">
        <v>286</v>
      </c>
      <c r="G215" s="152" t="s">
        <v>26</v>
      </c>
      <c r="H215" s="153" t="n">
        <v>9</v>
      </c>
      <c r="I215" s="154" t="n">
        <v>1</v>
      </c>
      <c r="J215" s="154" t="n">
        <v>1</v>
      </c>
      <c r="K215" s="155" t="n">
        <v>1938.2</v>
      </c>
      <c r="L215" s="155" t="n">
        <f aca="false">M215+N215</f>
        <v>0</v>
      </c>
      <c r="M215" s="155"/>
      <c r="N215" s="156"/>
      <c r="O215" s="157"/>
      <c r="P215" s="155"/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138</v>
      </c>
      <c r="C216" s="56" t="s">
        <v>33</v>
      </c>
      <c r="D216" s="56" t="s">
        <v>139</v>
      </c>
      <c r="E216" s="56" t="s">
        <v>25</v>
      </c>
      <c r="F216" s="36"/>
      <c r="G216" s="146" t="s">
        <v>22</v>
      </c>
      <c r="H216" s="169"/>
      <c r="I216" s="160"/>
      <c r="J216" s="160"/>
      <c r="K216" s="161"/>
      <c r="L216" s="161" t="n">
        <f aca="false">M216+N216</f>
        <v>0</v>
      </c>
      <c r="M216" s="161"/>
      <c r="N216" s="190"/>
      <c r="O216" s="163"/>
      <c r="P216" s="161"/>
      <c r="Q216" s="161" t="n">
        <f aca="false">R216+S216</f>
        <v>0</v>
      </c>
      <c r="R216" s="161"/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26" t="s">
        <v>214</v>
      </c>
      <c r="G217" s="152" t="s">
        <v>26</v>
      </c>
      <c r="H217" s="171" t="n">
        <v>5</v>
      </c>
      <c r="I217" s="154" t="n">
        <v>2</v>
      </c>
      <c r="J217" s="154" t="n">
        <v>2</v>
      </c>
      <c r="K217" s="155" t="n">
        <v>4158.32</v>
      </c>
      <c r="L217" s="155" t="n">
        <f aca="false">M217+N217</f>
        <v>4158.32</v>
      </c>
      <c r="M217" s="155" t="n">
        <f aca="false">2466.8</f>
        <v>2466.8</v>
      </c>
      <c r="N217" s="156" t="n">
        <f aca="false">1691.52</f>
        <v>1691.52</v>
      </c>
      <c r="O217" s="157"/>
      <c r="P217" s="155"/>
      <c r="Q217" s="155" t="n">
        <f aca="false">R217+S217</f>
        <v>0</v>
      </c>
      <c r="R217" s="155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33"/>
      <c r="B218" s="34" t="s">
        <v>140</v>
      </c>
      <c r="C218" s="35" t="s">
        <v>20</v>
      </c>
      <c r="D218" s="35"/>
      <c r="E218" s="35" t="s">
        <v>141</v>
      </c>
      <c r="F218" s="36"/>
      <c r="G218" s="146" t="s">
        <v>22</v>
      </c>
      <c r="H218" s="159" t="n">
        <v>16</v>
      </c>
      <c r="I218" s="160" t="n">
        <v>13</v>
      </c>
      <c r="J218" s="160" t="n">
        <v>19</v>
      </c>
      <c r="K218" s="161" t="n">
        <v>30108.72</v>
      </c>
      <c r="L218" s="161" t="n">
        <f aca="false">M218+N218</f>
        <v>16759.36</v>
      </c>
      <c r="M218" s="161" t="n">
        <v>13067.09</v>
      </c>
      <c r="N218" s="190" t="n">
        <v>3692.27</v>
      </c>
      <c r="O218" s="163" t="n">
        <v>12</v>
      </c>
      <c r="P218" s="161" t="n">
        <v>72912.46</v>
      </c>
      <c r="Q218" s="161" t="n">
        <f aca="false">R218+S218</f>
        <v>65251.23</v>
      </c>
      <c r="R218" s="161" t="n">
        <v>24064.99</v>
      </c>
      <c r="S218" s="190" t="n">
        <v>41186.24</v>
      </c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215</v>
      </c>
      <c r="G219" s="164" t="s">
        <v>26</v>
      </c>
      <c r="H219" s="175" t="n">
        <v>2</v>
      </c>
      <c r="I219" s="165"/>
      <c r="J219" s="165"/>
      <c r="K219" s="166"/>
      <c r="L219" s="166" t="n">
        <f aca="false">M219+N219</f>
        <v>0</v>
      </c>
      <c r="M219" s="166"/>
      <c r="N219" s="156"/>
      <c r="O219" s="168"/>
      <c r="P219" s="166"/>
      <c r="Q219" s="166" t="n">
        <f aca="false">R219+S219</f>
        <v>0</v>
      </c>
      <c r="R219" s="166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251</v>
      </c>
      <c r="C220" s="19" t="s">
        <v>20</v>
      </c>
      <c r="D220" s="19"/>
      <c r="E220" s="19" t="s">
        <v>116</v>
      </c>
      <c r="F220" s="20"/>
      <c r="G220" s="146" t="s">
        <v>22</v>
      </c>
      <c r="H220" s="173" t="n">
        <v>6</v>
      </c>
      <c r="I220" s="148" t="n">
        <v>3</v>
      </c>
      <c r="J220" s="148" t="n">
        <v>3</v>
      </c>
      <c r="K220" s="149" t="n">
        <v>3851.92</v>
      </c>
      <c r="L220" s="166" t="n">
        <f aca="false">M220+N220</f>
        <v>3851.92</v>
      </c>
      <c r="M220" s="149"/>
      <c r="N220" s="190" t="n">
        <v>3851.92</v>
      </c>
      <c r="O220" s="206"/>
      <c r="P220" s="149"/>
      <c r="Q220" s="149"/>
      <c r="R220" s="149"/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17"/>
      <c r="B221" s="18"/>
      <c r="C221" s="18"/>
      <c r="D221" s="18"/>
      <c r="E221" s="18"/>
      <c r="F221" s="26" t="s">
        <v>252</v>
      </c>
      <c r="G221" s="152" t="s">
        <v>26</v>
      </c>
      <c r="H221" s="174" t="n">
        <v>7</v>
      </c>
      <c r="I221" s="154"/>
      <c r="J221" s="154"/>
      <c r="K221" s="155"/>
      <c r="L221" s="166" t="n">
        <f aca="false">M221+N221</f>
        <v>0</v>
      </c>
      <c r="M221" s="155"/>
      <c r="N221" s="156"/>
      <c r="O221" s="209"/>
      <c r="P221" s="155"/>
      <c r="Q221" s="155"/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142</v>
      </c>
      <c r="C222" s="56" t="s">
        <v>20</v>
      </c>
      <c r="D222" s="56"/>
      <c r="E222" s="56" t="s">
        <v>25</v>
      </c>
      <c r="F222" s="36"/>
      <c r="G222" s="158" t="s">
        <v>22</v>
      </c>
      <c r="H222" s="173" t="n">
        <v>5</v>
      </c>
      <c r="I222" s="148" t="n">
        <v>4</v>
      </c>
      <c r="J222" s="148" t="n">
        <v>4</v>
      </c>
      <c r="K222" s="149" t="n">
        <v>3418.28</v>
      </c>
      <c r="L222" s="149" t="n">
        <f aca="false">M222+N222</f>
        <v>3418.28</v>
      </c>
      <c r="M222" s="149" t="n">
        <v>1656.28</v>
      </c>
      <c r="N222" s="190" t="n">
        <v>1762</v>
      </c>
      <c r="O222" s="228" t="n">
        <v>6</v>
      </c>
      <c r="P222" s="161" t="n">
        <v>10969.43</v>
      </c>
      <c r="Q222" s="161" t="n">
        <f aca="false">R222+S222</f>
        <v>8844.46</v>
      </c>
      <c r="R222" s="161" t="n">
        <v>3342.51</v>
      </c>
      <c r="S222" s="190" t="n">
        <v>5501.95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42" t="s">
        <v>216</v>
      </c>
      <c r="G223" s="164" t="s">
        <v>26</v>
      </c>
      <c r="H223" s="177" t="n">
        <v>7</v>
      </c>
      <c r="I223" s="165" t="n">
        <v>3</v>
      </c>
      <c r="J223" s="165" t="n">
        <v>3</v>
      </c>
      <c r="K223" s="166" t="n">
        <v>5990.8</v>
      </c>
      <c r="L223" s="166" t="n">
        <f aca="false">M223+N223</f>
        <v>5990.8</v>
      </c>
      <c r="M223" s="166" t="n">
        <v>5167.21</v>
      </c>
      <c r="N223" s="167" t="n">
        <v>823.59</v>
      </c>
      <c r="O223" s="238" t="n">
        <v>12</v>
      </c>
      <c r="P223" s="166" t="n">
        <v>7343.2</v>
      </c>
      <c r="Q223" s="166" t="n">
        <f aca="false">R223+S223</f>
        <v>8633.8</v>
      </c>
      <c r="R223" s="166" t="n">
        <f aca="false">823.59+1233.4+2819.2</f>
        <v>4876.19</v>
      </c>
      <c r="S223" s="167" t="n">
        <f aca="false">3757.61</f>
        <v>3757.61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18" t="s">
        <v>287</v>
      </c>
      <c r="C224" s="56" t="s">
        <v>20</v>
      </c>
      <c r="D224" s="19"/>
      <c r="E224" s="56" t="s">
        <v>25</v>
      </c>
      <c r="F224" s="20"/>
      <c r="G224" s="146" t="s">
        <v>22</v>
      </c>
      <c r="H224" s="147"/>
      <c r="I224" s="148"/>
      <c r="J224" s="148"/>
      <c r="K224" s="149"/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18"/>
      <c r="C225" s="18"/>
      <c r="D225" s="18"/>
      <c r="E225" s="18"/>
      <c r="F225" s="26" t="s">
        <v>288</v>
      </c>
      <c r="G225" s="152" t="s">
        <v>26</v>
      </c>
      <c r="H225" s="176" t="n">
        <v>4</v>
      </c>
      <c r="I225" s="154" t="n">
        <v>3</v>
      </c>
      <c r="J225" s="154" t="n">
        <v>3</v>
      </c>
      <c r="K225" s="155" t="n">
        <v>3171.6</v>
      </c>
      <c r="L225" s="155" t="n">
        <f aca="false">M225+N225</f>
        <v>3171.6</v>
      </c>
      <c r="M225" s="155"/>
      <c r="N225" s="156" t="n">
        <f aca="false">3171.6</f>
        <v>3171.6</v>
      </c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33"/>
      <c r="B226" s="34" t="s">
        <v>143</v>
      </c>
      <c r="C226" s="35" t="s">
        <v>20</v>
      </c>
      <c r="D226" s="35"/>
      <c r="E226" s="35" t="s">
        <v>25</v>
      </c>
      <c r="F226" s="36"/>
      <c r="G226" s="158" t="s">
        <v>22</v>
      </c>
      <c r="H226" s="169" t="n">
        <v>1</v>
      </c>
      <c r="I226" s="160"/>
      <c r="J226" s="160"/>
      <c r="K226" s="161"/>
      <c r="L226" s="161" t="n">
        <f aca="false">M226+N226</f>
        <v>0</v>
      </c>
      <c r="M226" s="161"/>
      <c r="N226" s="190"/>
      <c r="O226" s="163" t="n">
        <v>1</v>
      </c>
      <c r="P226" s="161" t="n">
        <v>1515.67</v>
      </c>
      <c r="Q226" s="161" t="n">
        <f aca="false">R226+S226</f>
        <v>1515.67</v>
      </c>
      <c r="R226" s="161" t="n">
        <v>1515.67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217</v>
      </c>
      <c r="G227" s="164" t="s">
        <v>26</v>
      </c>
      <c r="H227" s="171" t="n">
        <v>8</v>
      </c>
      <c r="I227" s="165"/>
      <c r="J227" s="165"/>
      <c r="K227" s="166"/>
      <c r="L227" s="166" t="n">
        <f aca="false">M227+N227</f>
        <v>704.8</v>
      </c>
      <c r="M227" s="166" t="n">
        <f aca="false">704.8</f>
        <v>704.8</v>
      </c>
      <c r="N227" s="156"/>
      <c r="O227" s="168" t="n">
        <v>6</v>
      </c>
      <c r="P227" s="166" t="n">
        <v>34775.2</v>
      </c>
      <c r="Q227" s="166" t="n">
        <f aca="false">R227+S227</f>
        <v>21496.4</v>
      </c>
      <c r="R227" s="166" t="n">
        <f aca="false">704.8+13038.8</f>
        <v>13743.6</v>
      </c>
      <c r="S227" s="156" t="n">
        <v>7752.8</v>
      </c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144</v>
      </c>
      <c r="C228" s="19" t="s">
        <v>20</v>
      </c>
      <c r="D228" s="19"/>
      <c r="E228" s="19" t="s">
        <v>81</v>
      </c>
      <c r="F228" s="20"/>
      <c r="G228" s="146" t="s">
        <v>22</v>
      </c>
      <c r="H228" s="159" t="n">
        <v>12</v>
      </c>
      <c r="I228" s="148" t="n">
        <v>7</v>
      </c>
      <c r="J228" s="148" t="n">
        <v>8</v>
      </c>
      <c r="K228" s="149" t="n">
        <v>7870.42</v>
      </c>
      <c r="L228" s="149" t="n">
        <f aca="false">M228+N228</f>
        <v>7588.94</v>
      </c>
      <c r="M228" s="149" t="n">
        <v>2096.78</v>
      </c>
      <c r="N228" s="190" t="n">
        <v>5492.16</v>
      </c>
      <c r="O228" s="151" t="n">
        <v>6</v>
      </c>
      <c r="P228" s="149" t="n">
        <v>24751.07</v>
      </c>
      <c r="Q228" s="149" t="n">
        <f aca="false">R228+S228</f>
        <v>16284.3</v>
      </c>
      <c r="R228" s="149" t="n">
        <v>3636.77</v>
      </c>
      <c r="S228" s="190" t="n">
        <v>12647.53</v>
      </c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218</v>
      </c>
      <c r="G229" s="152" t="s">
        <v>26</v>
      </c>
      <c r="H229" s="171" t="n">
        <v>6</v>
      </c>
      <c r="I229" s="154" t="n">
        <v>3</v>
      </c>
      <c r="J229" s="154" t="n">
        <v>3</v>
      </c>
      <c r="K229" s="155" t="n">
        <v>5341.3</v>
      </c>
      <c r="L229" s="155" t="n">
        <f aca="false">M229+N229</f>
        <v>4052.6</v>
      </c>
      <c r="M229" s="155" t="n">
        <f aca="false">4052.6</f>
        <v>4052.6</v>
      </c>
      <c r="N229" s="156"/>
      <c r="O229" s="157" t="n">
        <v>2</v>
      </c>
      <c r="P229" s="155" t="s">
        <v>151</v>
      </c>
      <c r="Q229" s="155" t="n">
        <f aca="false">R229+S229</f>
        <v>4493.1</v>
      </c>
      <c r="R229" s="155" t="n">
        <f aca="false">4493.1</f>
        <v>4493.1</v>
      </c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33"/>
      <c r="B230" s="34" t="s">
        <v>145</v>
      </c>
      <c r="C230" s="35" t="s">
        <v>20</v>
      </c>
      <c r="D230" s="35"/>
      <c r="E230" s="35" t="s">
        <v>98</v>
      </c>
      <c r="F230" s="36"/>
      <c r="G230" s="146" t="s">
        <v>22</v>
      </c>
      <c r="H230" s="169"/>
      <c r="I230" s="160"/>
      <c r="J230" s="160"/>
      <c r="K230" s="161"/>
      <c r="L230" s="161" t="n">
        <f aca="false">M230+N230</f>
        <v>0</v>
      </c>
      <c r="M230" s="161"/>
      <c r="N230" s="190"/>
      <c r="O230" s="163"/>
      <c r="P230" s="161"/>
      <c r="Q230" s="161" t="n">
        <f aca="false">R230+S230</f>
        <v>0</v>
      </c>
      <c r="R230" s="161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33"/>
      <c r="B231" s="34"/>
      <c r="C231" s="34"/>
      <c r="D231" s="34"/>
      <c r="E231" s="34"/>
      <c r="F231" s="71"/>
      <c r="G231" s="164" t="s">
        <v>23</v>
      </c>
      <c r="H231" s="175"/>
      <c r="I231" s="165"/>
      <c r="J231" s="165"/>
      <c r="K231" s="166"/>
      <c r="L231" s="166" t="n">
        <f aca="false">M231+N231</f>
        <v>0</v>
      </c>
      <c r="M231" s="166"/>
      <c r="N231" s="156"/>
      <c r="O231" s="168"/>
      <c r="P231" s="166"/>
      <c r="Q231" s="166" t="n">
        <f aca="false">R231+S231</f>
        <v>0</v>
      </c>
      <c r="R231" s="166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146</v>
      </c>
      <c r="C232" s="19" t="s">
        <v>20</v>
      </c>
      <c r="D232" s="19"/>
      <c r="E232" s="19" t="s">
        <v>25</v>
      </c>
      <c r="F232" s="22"/>
      <c r="G232" s="146" t="s">
        <v>22</v>
      </c>
      <c r="H232" s="173" t="n">
        <v>11</v>
      </c>
      <c r="I232" s="148" t="n">
        <v>7</v>
      </c>
      <c r="J232" s="148" t="n">
        <v>9</v>
      </c>
      <c r="K232" s="149" t="n">
        <v>10138.98</v>
      </c>
      <c r="L232" s="149" t="n">
        <f aca="false">M232+N232</f>
        <v>10138.98</v>
      </c>
      <c r="M232" s="149" t="n">
        <v>2819.2</v>
      </c>
      <c r="N232" s="190" t="n">
        <v>7319.78</v>
      </c>
      <c r="O232" s="206" t="n">
        <v>2</v>
      </c>
      <c r="P232" s="149" t="n">
        <v>15606.38</v>
      </c>
      <c r="Q232" s="149" t="n">
        <f aca="false">R232+S232</f>
        <v>15606.38</v>
      </c>
      <c r="R232" s="149" t="n">
        <v>1546.68</v>
      </c>
      <c r="S232" s="190" t="n">
        <v>14059.7</v>
      </c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42" t="s">
        <v>219</v>
      </c>
      <c r="G233" s="164" t="s">
        <v>26</v>
      </c>
      <c r="H233" s="178" t="n">
        <v>2</v>
      </c>
      <c r="I233" s="165" t="n">
        <v>1</v>
      </c>
      <c r="J233" s="165" t="n">
        <v>1</v>
      </c>
      <c r="K233" s="166" t="n">
        <v>1585.8</v>
      </c>
      <c r="L233" s="166" t="n">
        <f aca="false">M233+N233</f>
        <v>1585.8</v>
      </c>
      <c r="M233" s="166" t="n">
        <v>0</v>
      </c>
      <c r="N233" s="167" t="n">
        <v>1585.8</v>
      </c>
      <c r="O233" s="238" t="n">
        <v>1</v>
      </c>
      <c r="P233" s="166" t="n">
        <v>1585.8</v>
      </c>
      <c r="Q233" s="166" t="n">
        <f aca="false">R233+S233</f>
        <v>1585.8</v>
      </c>
      <c r="R233" s="166" t="n">
        <v>1585.8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289</v>
      </c>
      <c r="C234" s="19"/>
      <c r="D234" s="19"/>
      <c r="E234" s="19"/>
      <c r="F234" s="20"/>
      <c r="G234" s="146" t="s">
        <v>22</v>
      </c>
      <c r="H234" s="173" t="n">
        <v>5</v>
      </c>
      <c r="I234" s="148" t="n">
        <v>1</v>
      </c>
      <c r="J234" s="148" t="n">
        <v>2</v>
      </c>
      <c r="K234" s="149" t="n">
        <v>2643</v>
      </c>
      <c r="L234" s="149" t="n">
        <f aca="false">M234+N234</f>
        <v>2643</v>
      </c>
      <c r="M234" s="149"/>
      <c r="N234" s="224" t="n">
        <v>2643</v>
      </c>
      <c r="O234" s="151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57"/>
      <c r="G235" s="152" t="s">
        <v>23</v>
      </c>
      <c r="H235" s="174" t="n">
        <v>2</v>
      </c>
      <c r="I235" s="154" t="n">
        <v>1</v>
      </c>
      <c r="J235" s="154" t="n">
        <v>1</v>
      </c>
      <c r="K235" s="155" t="n">
        <v>2325.84</v>
      </c>
      <c r="L235" s="155" t="n">
        <v>2325.84</v>
      </c>
      <c r="M235" s="155" t="n">
        <v>2325.84</v>
      </c>
      <c r="N235" s="226"/>
      <c r="O235" s="157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54"/>
      <c r="B236" s="55" t="s">
        <v>147</v>
      </c>
      <c r="C236" s="56" t="s">
        <v>20</v>
      </c>
      <c r="D236" s="56"/>
      <c r="E236" s="56" t="s">
        <v>25</v>
      </c>
      <c r="F236" s="97"/>
      <c r="G236" s="158" t="s">
        <v>22</v>
      </c>
      <c r="H236" s="159" t="n">
        <v>4</v>
      </c>
      <c r="I236" s="160" t="n">
        <v>3</v>
      </c>
      <c r="J236" s="160" t="n">
        <v>3</v>
      </c>
      <c r="K236" s="161" t="n">
        <v>2093.26</v>
      </c>
      <c r="L236" s="161" t="n">
        <f aca="false">M236+N236</f>
        <v>2093.26</v>
      </c>
      <c r="M236" s="161" t="n">
        <v>2093.26</v>
      </c>
      <c r="N236" s="190"/>
      <c r="O236" s="163" t="n">
        <v>4</v>
      </c>
      <c r="P236" s="161" t="n">
        <v>16436.74</v>
      </c>
      <c r="Q236" s="161" t="n">
        <f aca="false">R236+S236</f>
        <v>16436.74</v>
      </c>
      <c r="R236" s="161" t="n">
        <v>16436.74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54"/>
      <c r="B237" s="55"/>
      <c r="C237" s="55"/>
      <c r="D237" s="55"/>
      <c r="E237" s="55"/>
      <c r="F237" s="26" t="s">
        <v>220</v>
      </c>
      <c r="G237" s="152" t="s">
        <v>26</v>
      </c>
      <c r="H237" s="171" t="n">
        <v>12</v>
      </c>
      <c r="I237" s="154" t="n">
        <v>2</v>
      </c>
      <c r="J237" s="154" t="n">
        <v>3</v>
      </c>
      <c r="K237" s="155" t="n">
        <v>9162.4</v>
      </c>
      <c r="L237" s="189" t="n">
        <f aca="false">M237+N237</f>
        <v>4228.8</v>
      </c>
      <c r="M237" s="155" t="n">
        <f aca="false">528.6</f>
        <v>528.6</v>
      </c>
      <c r="N237" s="167" t="n">
        <v>3700.2</v>
      </c>
      <c r="O237" s="157" t="n">
        <v>5</v>
      </c>
      <c r="P237" s="155" t="n">
        <v>13038.8</v>
      </c>
      <c r="Q237" s="161" t="n">
        <f aca="false">R237+S237</f>
        <v>18677.2</v>
      </c>
      <c r="R237" s="155" t="n">
        <f aca="false">7048+528.6+5638.4+5462.2</f>
        <v>18677.2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148</v>
      </c>
      <c r="C238" s="19" t="s">
        <v>20</v>
      </c>
      <c r="D238" s="19"/>
      <c r="E238" s="19" t="s">
        <v>21</v>
      </c>
      <c r="F238" s="22"/>
      <c r="G238" s="146" t="s">
        <v>22</v>
      </c>
      <c r="H238" s="173" t="n">
        <v>2</v>
      </c>
      <c r="I238" s="148" t="n">
        <v>1</v>
      </c>
      <c r="J238" s="148" t="n">
        <v>1</v>
      </c>
      <c r="K238" s="149" t="n">
        <v>436.1</v>
      </c>
      <c r="L238" s="149" t="n">
        <f aca="false">M238+N238</f>
        <v>436.1</v>
      </c>
      <c r="M238" s="149" t="n">
        <v>436.1</v>
      </c>
      <c r="N238" s="198"/>
      <c r="O238" s="151" t="n">
        <v>1</v>
      </c>
      <c r="P238" s="149" t="n">
        <v>13232.99</v>
      </c>
      <c r="Q238" s="149" t="n">
        <f aca="false">R238+S238</f>
        <v>13232.99</v>
      </c>
      <c r="R238" s="149" t="n">
        <v>13232.99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26" t="s">
        <v>248</v>
      </c>
      <c r="G239" s="152" t="s">
        <v>23</v>
      </c>
      <c r="H239" s="171" t="n">
        <v>2</v>
      </c>
      <c r="I239" s="154"/>
      <c r="J239" s="154"/>
      <c r="K239" s="155"/>
      <c r="L239" s="155" t="n">
        <f aca="false">M239+N239</f>
        <v>0</v>
      </c>
      <c r="M239" s="155"/>
      <c r="N239" s="156"/>
      <c r="O239" s="157" t="n">
        <v>1</v>
      </c>
      <c r="P239" s="155" t="n">
        <v>572.65</v>
      </c>
      <c r="Q239" s="155" t="n">
        <v>572.65</v>
      </c>
      <c r="R239" s="155" t="n">
        <v>572.65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99"/>
      <c r="B240" s="100" t="s">
        <v>149</v>
      </c>
      <c r="C240" s="100"/>
      <c r="D240" s="100"/>
      <c r="E240" s="100"/>
      <c r="F240" s="100"/>
      <c r="G240" s="212"/>
      <c r="H240" s="213" t="n">
        <f aca="false">SUM(H9:H239)</f>
        <v>1709</v>
      </c>
      <c r="I240" s="214" t="n">
        <f aca="false">SUM(I9:I239)</f>
        <v>1041</v>
      </c>
      <c r="J240" s="214" t="n">
        <f aca="false">SUM(J9:J239)</f>
        <v>1208</v>
      </c>
      <c r="K240" s="215" t="n">
        <f aca="false">SUM(K9:K239)</f>
        <v>1969368.14</v>
      </c>
      <c r="L240" s="215" t="n">
        <f aca="false">SUM(L9:L239)</f>
        <v>1387587.78</v>
      </c>
      <c r="M240" s="215" t="n">
        <f aca="false">SUM(M9:M239)</f>
        <v>801984.5</v>
      </c>
      <c r="N240" s="243" t="n">
        <f aca="false">SUM(N9:N239)</f>
        <v>611030.29</v>
      </c>
      <c r="O240" s="244" t="n">
        <f aca="false">SUM(O9:O239)</f>
        <v>1022</v>
      </c>
      <c r="P240" s="245" t="n">
        <f aca="false">SUM(P9:P239)</f>
        <v>3351188.52</v>
      </c>
      <c r="Q240" s="245" t="n">
        <f aca="false">SUM(Q9:Q239)</f>
        <v>2879767.1</v>
      </c>
      <c r="R240" s="245" t="n">
        <f aca="false">SUM(R9:R239)</f>
        <v>2079140.4</v>
      </c>
      <c r="S240" s="246" t="n">
        <f aca="false">SUM(S9:S239)</f>
        <v>818972.7</v>
      </c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 t="s">
        <v>290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2"/>
      <c r="B244" s="2"/>
      <c r="C244" s="2"/>
      <c r="D244" s="2"/>
      <c r="E244" s="2"/>
      <c r="F244" s="103"/>
      <c r="G244" s="104" t="s">
        <v>5</v>
      </c>
      <c r="H244" s="104"/>
      <c r="I244" s="104"/>
      <c r="J244" s="104"/>
      <c r="K244" s="104"/>
      <c r="L244" s="104"/>
      <c r="M244" s="104"/>
      <c r="N244" s="104" t="s">
        <v>6</v>
      </c>
      <c r="O244" s="104"/>
      <c r="P244" s="104"/>
      <c r="Q244" s="104"/>
      <c r="R244" s="104"/>
      <c r="S244" s="105" t="s">
        <v>150</v>
      </c>
      <c r="T244" s="105" t="s">
        <v>253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103"/>
      <c r="G245" s="106" t="s">
        <v>13</v>
      </c>
      <c r="H245" s="106" t="s">
        <v>14</v>
      </c>
      <c r="I245" s="106" t="s">
        <v>15</v>
      </c>
      <c r="J245" s="106" t="s">
        <v>226</v>
      </c>
      <c r="K245" s="106" t="s">
        <v>16</v>
      </c>
      <c r="L245" s="106" t="s">
        <v>17</v>
      </c>
      <c r="M245" s="106" t="s">
        <v>18</v>
      </c>
      <c r="N245" s="106" t="s">
        <v>15</v>
      </c>
      <c r="O245" s="106" t="s">
        <v>226</v>
      </c>
      <c r="P245" s="106" t="s">
        <v>16</v>
      </c>
      <c r="Q245" s="106" t="s">
        <v>17</v>
      </c>
      <c r="R245" s="106" t="s">
        <v>18</v>
      </c>
      <c r="S245" s="105"/>
      <c r="T245" s="105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107" t="s">
        <v>22</v>
      </c>
      <c r="G246" s="108" t="n">
        <f aca="false">SUMIF($G$9:$G$239,$F$246,H9:H239)</f>
        <v>1131</v>
      </c>
      <c r="H246" s="108" t="n">
        <f aca="false">SUMIF($G$9:$G$239,$F$246,I9:I239)</f>
        <v>806</v>
      </c>
      <c r="I246" s="108" t="n">
        <f aca="false">SUMIF($G$9:$G$239,$F$246,J9:J239)</f>
        <v>968</v>
      </c>
      <c r="J246" s="110" t="n">
        <f aca="false">SUMIF($G$9:$G$239,F246,$K$9:$K$239)</f>
        <v>1582945.71</v>
      </c>
      <c r="K246" s="110" t="n">
        <f aca="false">SUMIF($G$9:$G$239,$F$246,L9:L239)</f>
        <v>1200584.94</v>
      </c>
      <c r="L246" s="110" t="n">
        <f aca="false">SUMIF($G$9:$G$239,$F$246,M9:M239)</f>
        <v>699110.34</v>
      </c>
      <c r="M246" s="110" t="n">
        <f aca="false">SUMIF($G$9:$G$239,$F$246,N9:N239)</f>
        <v>501474.6</v>
      </c>
      <c r="N246" s="108" t="n">
        <f aca="false">SUMIF($G$9:$G$239,$F$246,O9:O239)</f>
        <v>687</v>
      </c>
      <c r="O246" s="110" t="n">
        <f aca="false">SUMIF($G$9:$G$239,F246,$P$9:$P$239)</f>
        <v>2681266.95</v>
      </c>
      <c r="P246" s="110" t="n">
        <f aca="false">SUMIF($G$9:$G$239,$F$246,Q9:Q239)</f>
        <v>2246451.45</v>
      </c>
      <c r="Q246" s="110" t="n">
        <f aca="false">SUMIF($G$9:$G$239,$F$246,R9:R239)</f>
        <v>1592142.56</v>
      </c>
      <c r="R246" s="110" t="n">
        <f aca="false">SUMIF($G$9:$G$239,$F$246,S9:S239)</f>
        <v>654308.89</v>
      </c>
      <c r="S246" s="110" t="n">
        <f aca="false">Q246+L246</f>
        <v>2291252.9</v>
      </c>
      <c r="T246" s="111" t="n">
        <f aca="false">J246-L246+O246-Q246</f>
        <v>1972959.76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107" t="s">
        <v>26</v>
      </c>
      <c r="G247" s="108" t="n">
        <f aca="false">SUMIF($G$9:$G$239,$F$247,H9:H239)</f>
        <v>361</v>
      </c>
      <c r="H247" s="108" t="n">
        <v>20</v>
      </c>
      <c r="I247" s="108" t="n">
        <f aca="false">SUMIF($G$9:$G$239,$F$247,J9:J239)</f>
        <v>128</v>
      </c>
      <c r="J247" s="110" t="n">
        <f aca="false">SUMIF($G$9:$G$239,F247,$K$9:$K$239)</f>
        <v>255498.02</v>
      </c>
      <c r="K247" s="110" t="n">
        <f aca="false">SUMIF($G$9:$G$239,$F$247,L9:L239)</f>
        <v>148169.31</v>
      </c>
      <c r="L247" s="110" t="n">
        <f aca="false">SUMIF($G$9:$G$239,$F$247,M9:M239)</f>
        <v>67036.03</v>
      </c>
      <c r="M247" s="110" t="n">
        <f aca="false">SUMIF($G$9:$G$239,$F$247,N9:N239)</f>
        <v>85362.08</v>
      </c>
      <c r="N247" s="108" t="n">
        <f aca="false">SUMIF($G$9:$G$239,$F$247,O9:O239)</f>
        <v>228</v>
      </c>
      <c r="O247" s="110" t="n">
        <f aca="false">SUMIF($G$9:$G$239,F247,$P$9:$P$239)</f>
        <v>445508.5</v>
      </c>
      <c r="P247" s="110" t="n">
        <f aca="false">SUMIF($G$9:$G$239,$F$247,Q9:Q239)</f>
        <v>504748.78</v>
      </c>
      <c r="Q247" s="110" t="n">
        <f aca="false">SUMIF($G$9:$G$239,$F$247,R9:R239)</f>
        <v>362835.97</v>
      </c>
      <c r="R247" s="110" t="n">
        <f aca="false">SUMIF($G$9:$G$239,$F$247,S9:S239)</f>
        <v>141912.81</v>
      </c>
      <c r="S247" s="110" t="n">
        <f aca="false">Q247+L247</f>
        <v>429872</v>
      </c>
      <c r="T247" s="111" t="n">
        <f aca="false">J247-L247+O247-Q247</f>
        <v>271134.52</v>
      </c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107" t="s">
        <v>23</v>
      </c>
      <c r="G248" s="108" t="n">
        <f aca="false">SUMIF($G$9:$G$239,$F$248,H9:H239)</f>
        <v>217</v>
      </c>
      <c r="H248" s="108" t="n">
        <f aca="false">SUMIF($G$9:$G$239,$F$248,I9:I239)</f>
        <v>112</v>
      </c>
      <c r="I248" s="108" t="n">
        <f aca="false">SUMIF($G$9:$G$239,$F$248,J9:J239)</f>
        <v>112</v>
      </c>
      <c r="J248" s="110" t="n">
        <f aca="false">SUMIF($G$9:$G$239,F248,$K$9:$K$239)</f>
        <v>130924.41</v>
      </c>
      <c r="K248" s="110" t="n">
        <f aca="false">SUMIF($G$9:$G$239,$F$248,L9:L239)</f>
        <v>38833.53</v>
      </c>
      <c r="L248" s="110" t="n">
        <f aca="false">SUMIF($G$9:$G$239,$F$248,M9:M239)</f>
        <v>35838.13</v>
      </c>
      <c r="M248" s="110" t="n">
        <f aca="false">SUMIF($G$9:$G$239,$F$248,N9:N239)</f>
        <v>24193.61</v>
      </c>
      <c r="N248" s="108" t="n">
        <f aca="false">SUMIF($G$9:$G$239,$F$248,O9:O239)</f>
        <v>107</v>
      </c>
      <c r="O248" s="110" t="n">
        <f aca="false">SUMIF($G$9:$G$239,F248,$P$9:$P$239)</f>
        <v>224413.07</v>
      </c>
      <c r="P248" s="110" t="n">
        <f aca="false">SUMIF($G$9:$G$239,$F$248,Q9:Q239)</f>
        <v>128566.87</v>
      </c>
      <c r="Q248" s="110" t="n">
        <f aca="false">SUMIF($G$9:$G$239,$F$248,R9:R239)</f>
        <v>124161.87</v>
      </c>
      <c r="R248" s="110" t="n">
        <f aca="false">SUMIF($G$9:$G$239,$F$248,S9:S239)</f>
        <v>22751</v>
      </c>
      <c r="S248" s="110" t="n">
        <f aca="false">Q248+L248</f>
        <v>160000</v>
      </c>
      <c r="T248" s="111" t="n">
        <f aca="false">J248-L248+O248-Q248</f>
        <v>195337.48</v>
      </c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16" t="n">
        <f aca="false">G248+G247+G246</f>
        <v>1709</v>
      </c>
      <c r="H249" s="216" t="n">
        <f aca="false">H248+H247+H246</f>
        <v>938</v>
      </c>
      <c r="I249" s="216" t="n">
        <f aca="false">I248+I247+I246</f>
        <v>1208</v>
      </c>
      <c r="J249" s="217" t="n">
        <f aca="false">J248+J247+J246</f>
        <v>1969368.14</v>
      </c>
      <c r="K249" s="217" t="n">
        <f aca="false">K248+K247+K246</f>
        <v>1387587.78</v>
      </c>
      <c r="L249" s="217" t="n">
        <f aca="false">L248+L247+L246</f>
        <v>801984.5</v>
      </c>
      <c r="M249" s="217" t="n">
        <f aca="false">M248+M247+M246</f>
        <v>611030.29</v>
      </c>
      <c r="N249" s="216" t="n">
        <f aca="false">N248+N247+N246</f>
        <v>1022</v>
      </c>
      <c r="O249" s="217" t="n">
        <f aca="false">O248+O247+O246</f>
        <v>3351188.52</v>
      </c>
      <c r="P249" s="217" t="n">
        <f aca="false">P248+P247+P246</f>
        <v>2879767.1</v>
      </c>
      <c r="Q249" s="217" t="n">
        <f aca="false">Q248+Q247+Q246</f>
        <v>2079140.4</v>
      </c>
      <c r="R249" s="217" t="n">
        <f aca="false">R248+R247+R246</f>
        <v>818972.7</v>
      </c>
      <c r="S249" s="217" t="n">
        <f aca="false">S248+S247+S246</f>
        <v>2881124.9</v>
      </c>
      <c r="T249" s="217" t="n">
        <f aca="false">T248+T247+T246</f>
        <v>2439431.76</v>
      </c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F310" s="0" t="s">
        <v>22</v>
      </c>
      <c r="G310" s="0" t="n">
        <v>855</v>
      </c>
      <c r="H310" s="247" t="n">
        <v>470</v>
      </c>
      <c r="I310" s="247" t="n">
        <v>533</v>
      </c>
      <c r="J310" s="0" t="n">
        <v>698634.28</v>
      </c>
      <c r="K310" s="236" t="n">
        <v>578741.37</v>
      </c>
      <c r="L310" s="0" t="n">
        <v>208301.67</v>
      </c>
      <c r="M310" s="0" t="n">
        <v>370439.7</v>
      </c>
      <c r="N310" s="0" t="n">
        <v>549</v>
      </c>
      <c r="O310" s="0" t="n">
        <v>1707859.19</v>
      </c>
      <c r="P310" s="0" t="n">
        <v>1387209.08</v>
      </c>
      <c r="Q310" s="0" t="n">
        <v>868523.33</v>
      </c>
      <c r="R310" s="0" t="n">
        <v>518685.75</v>
      </c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</sheetData>
  <mergeCells count="57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5"/>
    <mergeCell ref="B103:B105"/>
    <mergeCell ref="C103:C105"/>
    <mergeCell ref="D103:D105"/>
    <mergeCell ref="E103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7"/>
    <mergeCell ref="B135:B137"/>
    <mergeCell ref="C135:C137"/>
    <mergeCell ref="D135:D137"/>
    <mergeCell ref="E135:E137"/>
    <mergeCell ref="A138:A139"/>
    <mergeCell ref="B138:B139"/>
    <mergeCell ref="C138:C139"/>
    <mergeCell ref="D138:D139"/>
    <mergeCell ref="E138:E139"/>
    <mergeCell ref="A140:A142"/>
    <mergeCell ref="B140:B142"/>
    <mergeCell ref="C140:C142"/>
    <mergeCell ref="D140:D142"/>
    <mergeCell ref="E140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5"/>
    <mergeCell ref="B173:B175"/>
    <mergeCell ref="C173:C175"/>
    <mergeCell ref="D173:D175"/>
    <mergeCell ref="E173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B182:B183"/>
    <mergeCell ref="D182:D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F244:F245"/>
    <mergeCell ref="G244:M244"/>
    <mergeCell ref="N244:R244"/>
    <mergeCell ref="S244:S245"/>
    <mergeCell ref="T244:T24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8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21</v>
      </c>
      <c r="I11" s="160" t="n">
        <v>16</v>
      </c>
      <c r="J11" s="160" t="n">
        <v>28</v>
      </c>
      <c r="K11" s="161" t="n">
        <v>57578.8</v>
      </c>
      <c r="L11" s="161" t="n">
        <f aca="false">M11+N11</f>
        <v>28456.91</v>
      </c>
      <c r="M11" s="161" t="n">
        <v>28456.91</v>
      </c>
      <c r="N11" s="239"/>
      <c r="O11" s="151" t="n">
        <v>9</v>
      </c>
      <c r="P11" s="149" t="n">
        <v>39893.36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33</v>
      </c>
      <c r="K13" s="149" t="n">
        <v>46182.72</v>
      </c>
      <c r="L13" s="149" t="n">
        <f aca="false">M13+N13</f>
        <v>38950.58</v>
      </c>
      <c r="M13" s="149" t="n">
        <v>26104.4</v>
      </c>
      <c r="N13" s="249" t="n">
        <v>12846.18</v>
      </c>
      <c r="O13" s="228" t="n">
        <v>5</v>
      </c>
      <c r="P13" s="161" t="n">
        <v>14423.5</v>
      </c>
      <c r="Q13" s="161" t="n">
        <f aca="false">R13+S13</f>
        <v>14423.5</v>
      </c>
      <c r="R13" s="161" t="n">
        <v>12388.39</v>
      </c>
      <c r="S13" s="190" t="n">
        <v>2035.11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7576.6</v>
      </c>
      <c r="M14" s="155" t="n">
        <f aca="false">1938.2</f>
        <v>1938.2</v>
      </c>
      <c r="N14" s="156" t="n">
        <f aca="false">3524+2114.4</f>
        <v>5638.4</v>
      </c>
      <c r="O14" s="209" t="n">
        <v>7</v>
      </c>
      <c r="P14" s="155" t="n">
        <v>11273.8</v>
      </c>
      <c r="Q14" s="155" t="n">
        <f aca="false">R14+S14</f>
        <v>15497.5</v>
      </c>
      <c r="R14" s="155" t="n">
        <f aca="false">1585.8+2106.3+5109.8+2114.4</f>
        <v>10916.3</v>
      </c>
      <c r="S14" s="167" t="n">
        <v>4581.2</v>
      </c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1</v>
      </c>
      <c r="P15" s="149" t="n">
        <v>7224.2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/>
      <c r="N16" s="167" t="n">
        <f aca="false">4405</f>
        <v>4405</v>
      </c>
      <c r="O16" s="168" t="n">
        <v>4</v>
      </c>
      <c r="P16" s="166" t="n">
        <v>19515.9</v>
      </c>
      <c r="Q16" s="166" t="n">
        <f aca="false">R16+S16</f>
        <v>15858</v>
      </c>
      <c r="R16" s="166" t="n">
        <f aca="false">10924.4</f>
        <v>10924.4</v>
      </c>
      <c r="S16" s="167" t="n">
        <f aca="false">4933.6</f>
        <v>4933.6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5</v>
      </c>
      <c r="I19" s="160" t="n">
        <v>1</v>
      </c>
      <c r="J19" s="160" t="n">
        <v>1</v>
      </c>
      <c r="K19" s="161" t="n">
        <v>528.6</v>
      </c>
      <c r="L19" s="161" t="n">
        <f aca="false">M19+N19</f>
        <v>0</v>
      </c>
      <c r="M19" s="161"/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5</v>
      </c>
      <c r="I20" s="154" t="n">
        <v>2</v>
      </c>
      <c r="J20" s="154" t="n">
        <v>2</v>
      </c>
      <c r="K20" s="155" t="n">
        <v>1389.4</v>
      </c>
      <c r="L20" s="155" t="n">
        <f aca="false">M20+N20</f>
        <v>704.8</v>
      </c>
      <c r="M20" s="155" t="n">
        <f aca="false">704.8</f>
        <v>704.8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18</v>
      </c>
      <c r="I21" s="160" t="n">
        <v>11</v>
      </c>
      <c r="J21" s="160" t="n">
        <v>12</v>
      </c>
      <c r="K21" s="161" t="n">
        <v>14830.79</v>
      </c>
      <c r="L21" s="161" t="n">
        <f aca="false">M21+N21</f>
        <v>14830.79</v>
      </c>
      <c r="M21" s="161" t="n">
        <v>4012.08</v>
      </c>
      <c r="N21" s="190" t="n">
        <v>10818.71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17766.28</v>
      </c>
      <c r="S21" s="190" t="n">
        <v>25813.94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1</v>
      </c>
      <c r="J22" s="154" t="n">
        <v>1</v>
      </c>
      <c r="K22" s="155" t="n">
        <v>1762</v>
      </c>
      <c r="L22" s="155" t="n">
        <f aca="false">M22+N22</f>
        <v>0</v>
      </c>
      <c r="M22" s="155"/>
      <c r="N22" s="156"/>
      <c r="O22" s="157" t="n">
        <v>3</v>
      </c>
      <c r="P22" s="155"/>
      <c r="Q22" s="155" t="n">
        <f aca="false">R22+S22</f>
        <v>0</v>
      </c>
      <c r="R22" s="155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24</v>
      </c>
      <c r="I23" s="160" t="n">
        <v>17</v>
      </c>
      <c r="J23" s="160" t="n">
        <v>28</v>
      </c>
      <c r="K23" s="161" t="n">
        <v>37859.19</v>
      </c>
      <c r="L23" s="161" t="n">
        <f aca="false">M23+N23</f>
        <v>36599.36</v>
      </c>
      <c r="M23" s="161" t="n">
        <v>24311.18</v>
      </c>
      <c r="N23" s="190" t="n">
        <v>12288.18</v>
      </c>
      <c r="O23" s="151" t="n">
        <v>22</v>
      </c>
      <c r="P23" s="149" t="n">
        <v>47120.13</v>
      </c>
      <c r="Q23" s="149" t="n">
        <f aca="false">R23+S23</f>
        <v>47120.13</v>
      </c>
      <c r="R23" s="149" t="n">
        <v>27767.21</v>
      </c>
      <c r="S23" s="198" t="n">
        <v>19352.92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704.8</v>
      </c>
      <c r="R24" s="155" t="n">
        <v>704.8</v>
      </c>
      <c r="S24" s="156" t="n">
        <v>1145.3</v>
      </c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21</v>
      </c>
      <c r="I25" s="148" t="n">
        <v>15</v>
      </c>
      <c r="J25" s="148" t="n">
        <v>15</v>
      </c>
      <c r="K25" s="148" t="n">
        <v>5100.63</v>
      </c>
      <c r="L25" s="149" t="n">
        <f aca="false">M25+N25</f>
        <v>4140.7</v>
      </c>
      <c r="M25" s="149" t="n">
        <v>4140.7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4</v>
      </c>
      <c r="J26" s="154" t="n">
        <v>4</v>
      </c>
      <c r="K26" s="155" t="n">
        <v>6932.6</v>
      </c>
      <c r="L26" s="155" t="n">
        <f aca="false">M26+N26</f>
        <v>0</v>
      </c>
      <c r="M26" s="155"/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24</v>
      </c>
      <c r="I27" s="160" t="n">
        <v>23</v>
      </c>
      <c r="J27" s="160" t="n">
        <v>34</v>
      </c>
      <c r="K27" s="161" t="n">
        <v>61334.34</v>
      </c>
      <c r="L27" s="161" t="n">
        <f aca="false">M27+N27</f>
        <v>43954.53</v>
      </c>
      <c r="M27" s="161" t="n">
        <v>33328.26</v>
      </c>
      <c r="N27" s="190" t="n">
        <v>10626.27</v>
      </c>
      <c r="O27" s="151" t="n">
        <v>8</v>
      </c>
      <c r="P27" s="149" t="n">
        <v>21503.23</v>
      </c>
      <c r="Q27" s="149" t="n">
        <f aca="false">R27+S27</f>
        <v>20128.87</v>
      </c>
      <c r="R27" s="149" t="n">
        <v>10769.07</v>
      </c>
      <c r="S27" s="198" t="n">
        <v>9359.8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5</v>
      </c>
      <c r="I28" s="165" t="n">
        <v>3</v>
      </c>
      <c r="J28" s="165" t="n">
        <v>3</v>
      </c>
      <c r="K28" s="166" t="n">
        <v>2114.4</v>
      </c>
      <c r="L28" s="166" t="n">
        <f aca="false">M28+N28</f>
        <v>1409.6</v>
      </c>
      <c r="M28" s="166"/>
      <c r="N28" s="156" t="n">
        <v>1409.6</v>
      </c>
      <c r="O28" s="157" t="n">
        <v>12</v>
      </c>
      <c r="P28" s="155" t="n">
        <v>19558.2</v>
      </c>
      <c r="Q28" s="155" t="n">
        <f aca="false">R28+S28</f>
        <v>28368.2</v>
      </c>
      <c r="R28" s="155" t="n">
        <f aca="false">2995.4+14272.2</f>
        <v>17267.6</v>
      </c>
      <c r="S28" s="156" t="n">
        <f aca="false">11100.6</f>
        <v>11100.6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/>
      <c r="N29" s="190" t="n">
        <v>1550.56</v>
      </c>
      <c r="O29" s="151" t="n">
        <v>4</v>
      </c>
      <c r="P29" s="149" t="n">
        <v>14655.02</v>
      </c>
      <c r="Q29" s="149" t="n">
        <f aca="false">R29+S29</f>
        <v>14655.02</v>
      </c>
      <c r="R29" s="149" t="n">
        <v>6373.62</v>
      </c>
      <c r="S29" s="198" t="n">
        <v>8281.4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</f>
        <v>4052.6</v>
      </c>
      <c r="N30" s="167" t="n">
        <f aca="false">2643</f>
        <v>2643</v>
      </c>
      <c r="O30" s="168" t="n">
        <v>10</v>
      </c>
      <c r="P30" s="166" t="n">
        <v>19381.4</v>
      </c>
      <c r="Q30" s="166" t="n">
        <f aca="false">R30+S30</f>
        <v>17267.7</v>
      </c>
      <c r="R30" s="166" t="n">
        <f aca="false">5286+2290.6-23.95+9715.05</f>
        <v>17267.7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/>
      <c r="N33" s="190" t="n">
        <v>4864.84</v>
      </c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1</v>
      </c>
      <c r="J34" s="165" t="n">
        <v>1</v>
      </c>
      <c r="K34" s="166" t="n">
        <v>2114.4</v>
      </c>
      <c r="L34" s="166" t="n">
        <f aca="false">M34+N34</f>
        <v>0</v>
      </c>
      <c r="M34" s="166"/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1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14</v>
      </c>
      <c r="I37" s="160" t="n">
        <v>10</v>
      </c>
      <c r="J37" s="160" t="n">
        <v>11</v>
      </c>
      <c r="K37" s="161" t="n">
        <v>20211.1</v>
      </c>
      <c r="L37" s="161" t="n">
        <f aca="false">M37+N37</f>
        <v>16153.14</v>
      </c>
      <c r="M37" s="161" t="n">
        <v>881</v>
      </c>
      <c r="N37" s="190" t="n">
        <v>15272.14</v>
      </c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7</v>
      </c>
      <c r="I38" s="154" t="n">
        <v>3</v>
      </c>
      <c r="J38" s="154" t="n">
        <v>3</v>
      </c>
      <c r="K38" s="155" t="n">
        <v>6343.2</v>
      </c>
      <c r="L38" s="155" t="n">
        <f aca="false">M38+N38</f>
        <v>5109.8</v>
      </c>
      <c r="M38" s="155" t="n">
        <f aca="false">704.8</f>
        <v>704.8</v>
      </c>
      <c r="N38" s="156" t="n">
        <f aca="false">4405</f>
        <v>4405</v>
      </c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13</v>
      </c>
      <c r="J41" s="160" t="n">
        <v>16</v>
      </c>
      <c r="K41" s="161" t="n">
        <v>30817</v>
      </c>
      <c r="L41" s="161" t="n">
        <f aca="false">M41+N41</f>
        <v>18145.63</v>
      </c>
      <c r="M41" s="161" t="n">
        <v>9138.09</v>
      </c>
      <c r="N41" s="190" t="n">
        <v>9007.54</v>
      </c>
      <c r="O41" s="151" t="n">
        <v>10</v>
      </c>
      <c r="P41" s="149" t="n">
        <v>39637.95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/>
      <c r="N42" s="156" t="n">
        <f aca="false">4933.6</f>
        <v>4933.6</v>
      </c>
      <c r="O42" s="157" t="n">
        <v>5</v>
      </c>
      <c r="P42" s="155" t="n">
        <v>13567.4</v>
      </c>
      <c r="Q42" s="155" t="n">
        <f aca="false">R42+S42</f>
        <v>14800.8</v>
      </c>
      <c r="R42" s="155" t="n">
        <f aca="false">53.85+11399.15</f>
        <v>11453</v>
      </c>
      <c r="S42" s="156" t="n">
        <f aca="false">3347.8</f>
        <v>3347.8</v>
      </c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13</v>
      </c>
      <c r="I43" s="160" t="n">
        <v>11</v>
      </c>
      <c r="J43" s="160" t="n">
        <v>14</v>
      </c>
      <c r="K43" s="161" t="n">
        <v>33480.29</v>
      </c>
      <c r="L43" s="161" t="n">
        <f aca="false">M43+N43</f>
        <v>27872.38</v>
      </c>
      <c r="M43" s="161" t="n">
        <v>19151.8</v>
      </c>
      <c r="N43" s="190" t="n">
        <v>8720.58</v>
      </c>
      <c r="O43" s="151" t="n">
        <v>16</v>
      </c>
      <c r="P43" s="149" t="n">
        <v>56737.45</v>
      </c>
      <c r="Q43" s="149" t="n">
        <f aca="false">R43+S43</f>
        <v>55419.47</v>
      </c>
      <c r="R43" s="149" t="n">
        <v>54101.49</v>
      </c>
      <c r="S43" s="198" t="n">
        <v>1317.98</v>
      </c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6</v>
      </c>
      <c r="J45" s="148" t="n">
        <v>6</v>
      </c>
      <c r="K45" s="149" t="n">
        <v>3730.57</v>
      </c>
      <c r="L45" s="149" t="n">
        <f aca="false">M45+N45</f>
        <v>2119.69</v>
      </c>
      <c r="M45" s="149" t="n">
        <v>2119.69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3</v>
      </c>
      <c r="P46" s="166" t="n">
        <v>13945.3</v>
      </c>
      <c r="Q46" s="166" t="n">
        <f aca="false">R46+S46</f>
        <v>10849.9</v>
      </c>
      <c r="R46" s="166" t="n">
        <f aca="false">10849.9</f>
        <v>10849.9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2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v>0</v>
      </c>
      <c r="N48" s="156" t="n">
        <v>1233.4</v>
      </c>
      <c r="O48" s="157" t="n">
        <v>4</v>
      </c>
      <c r="P48" s="155" t="n">
        <v>11981.6</v>
      </c>
      <c r="Q48" s="155" t="n">
        <f aca="false">R48+S48</f>
        <v>13567.4</v>
      </c>
      <c r="R48" s="155" t="n">
        <f aca="false">528.6+11453</f>
        <v>11981.6</v>
      </c>
      <c r="S48" s="156" t="n">
        <v>1585.8</v>
      </c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/>
      <c r="N51" s="190" t="n">
        <v>5976.7</v>
      </c>
      <c r="O51" s="151" t="n">
        <v>3</v>
      </c>
      <c r="P51" s="149" t="n">
        <v>9820.51</v>
      </c>
      <c r="Q51" s="149" t="n">
        <f aca="false">R51+S51</f>
        <v>9820.51</v>
      </c>
      <c r="R51" s="149" t="n">
        <v>5039.32</v>
      </c>
      <c r="S51" s="198" t="n">
        <v>4781.19</v>
      </c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50</v>
      </c>
      <c r="I53" s="148" t="n">
        <v>45</v>
      </c>
      <c r="J53" s="148" t="n">
        <v>45</v>
      </c>
      <c r="K53" s="149" t="n">
        <v>42999.32</v>
      </c>
      <c r="L53" s="149" t="n">
        <f aca="false">M53+N53</f>
        <v>39470.47</v>
      </c>
      <c r="M53" s="149" t="n">
        <v>34720.47</v>
      </c>
      <c r="N53" s="190" t="n">
        <v>4750</v>
      </c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4</v>
      </c>
      <c r="I54" s="154" t="n">
        <v>3</v>
      </c>
      <c r="J54" s="154" t="n">
        <v>3</v>
      </c>
      <c r="K54" s="155" t="n">
        <v>15858</v>
      </c>
      <c r="L54" s="155" t="n">
        <f aca="false">M54+N54</f>
        <v>1409.6</v>
      </c>
      <c r="M54" s="155" t="n">
        <f aca="false">1409.6</f>
        <v>1409.6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23</v>
      </c>
      <c r="I55" s="160" t="n">
        <v>13</v>
      </c>
      <c r="J55" s="160" t="n">
        <v>17</v>
      </c>
      <c r="K55" s="161" t="n">
        <v>30660.61</v>
      </c>
      <c r="L55" s="161" t="n">
        <f aca="false">M55+N55</f>
        <v>28323.14</v>
      </c>
      <c r="M55" s="161" t="n">
        <v>11601.93</v>
      </c>
      <c r="N55" s="190" t="n">
        <v>16721.21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47845.54</v>
      </c>
      <c r="S55" s="198" t="n">
        <v>27796.17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4</v>
      </c>
      <c r="I57" s="160" t="n">
        <v>2</v>
      </c>
      <c r="J57" s="160" t="n">
        <v>2</v>
      </c>
      <c r="K57" s="161" t="n">
        <v>2563.71</v>
      </c>
      <c r="L57" s="161" t="n">
        <f aca="false">M57+N57</f>
        <v>0</v>
      </c>
      <c r="M57" s="161"/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1" t="n">
        <v>4</v>
      </c>
      <c r="I58" s="165" t="n">
        <v>1</v>
      </c>
      <c r="J58" s="165" t="n">
        <v>1</v>
      </c>
      <c r="K58" s="166" t="n">
        <v>1057.2</v>
      </c>
      <c r="L58" s="161" t="n">
        <f aca="false">M58+N58</f>
        <v>1057.2</v>
      </c>
      <c r="M58" s="166" t="n">
        <v>0</v>
      </c>
      <c r="N58" s="156" t="n">
        <v>1057.2</v>
      </c>
      <c r="O58" s="168" t="n">
        <v>8</v>
      </c>
      <c r="P58" s="166" t="n">
        <v>14217.29</v>
      </c>
      <c r="Q58" s="161" t="n">
        <f aca="false">R58+S58</f>
        <v>18120.69</v>
      </c>
      <c r="R58" s="166" t="n">
        <f aca="false">1409.6+3672.29+13038.8</f>
        <v>18120.69</v>
      </c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56</v>
      </c>
      <c r="C59" s="19" t="s">
        <v>33</v>
      </c>
      <c r="D59" s="19" t="s">
        <v>57</v>
      </c>
      <c r="E59" s="19" t="s">
        <v>25</v>
      </c>
      <c r="F59" s="20"/>
      <c r="G59" s="146" t="s">
        <v>22</v>
      </c>
      <c r="H59" s="159" t="n">
        <v>7</v>
      </c>
      <c r="I59" s="148"/>
      <c r="J59" s="148"/>
      <c r="K59" s="149"/>
      <c r="L59" s="149" t="n">
        <f aca="false">M59+N59</f>
        <v>0</v>
      </c>
      <c r="M59" s="149"/>
      <c r="N59" s="190"/>
      <c r="O59" s="151" t="n">
        <v>11</v>
      </c>
      <c r="P59" s="149" t="n">
        <v>43131.21</v>
      </c>
      <c r="Q59" s="149" t="n">
        <f aca="false">R59+S59</f>
        <v>43131.21</v>
      </c>
      <c r="R59" s="149" t="n">
        <v>43131.21</v>
      </c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42"/>
      <c r="G60" s="164" t="s">
        <v>26</v>
      </c>
      <c r="H60" s="175" t="n">
        <v>4</v>
      </c>
      <c r="I60" s="165" t="n">
        <v>2</v>
      </c>
      <c r="J60" s="165" t="n">
        <v>2</v>
      </c>
      <c r="K60" s="166" t="n">
        <v>2209.2</v>
      </c>
      <c r="L60" s="166" t="n">
        <f aca="false">M60+N60</f>
        <v>0</v>
      </c>
      <c r="M60" s="166"/>
      <c r="N60" s="156"/>
      <c r="O60" s="168" t="n">
        <v>5</v>
      </c>
      <c r="P60" s="166"/>
      <c r="Q60" s="166" t="n">
        <f aca="false">R60+S60</f>
        <v>4249</v>
      </c>
      <c r="R60" s="166"/>
      <c r="S60" s="156" t="n">
        <f aca="false">4249</f>
        <v>4249</v>
      </c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266</v>
      </c>
      <c r="C61" s="19" t="s">
        <v>20</v>
      </c>
      <c r="D61" s="19"/>
      <c r="E61" s="19" t="s">
        <v>267</v>
      </c>
      <c r="F61" s="20"/>
      <c r="G61" s="146" t="s">
        <v>22</v>
      </c>
      <c r="H61" s="173" t="n">
        <v>2</v>
      </c>
      <c r="I61" s="148" t="n">
        <v>1</v>
      </c>
      <c r="J61" s="148" t="n">
        <v>1</v>
      </c>
      <c r="K61" s="149" t="n">
        <v>528.6</v>
      </c>
      <c r="L61" s="149" t="n">
        <f aca="false">M61+N61</f>
        <v>0</v>
      </c>
      <c r="M61" s="149"/>
      <c r="N61" s="190"/>
      <c r="O61" s="206"/>
      <c r="P61" s="149"/>
      <c r="Q61" s="149" t="n">
        <f aca="false">R61+S61</f>
        <v>0</v>
      </c>
      <c r="R61" s="149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26" t="s">
        <v>268</v>
      </c>
      <c r="G62" s="152" t="s">
        <v>26</v>
      </c>
      <c r="H62" s="174" t="n">
        <v>5</v>
      </c>
      <c r="I62" s="154" t="n">
        <v>3</v>
      </c>
      <c r="J62" s="154" t="n">
        <v>3</v>
      </c>
      <c r="K62" s="155" t="n">
        <v>5286</v>
      </c>
      <c r="L62" s="155" t="n">
        <f aca="false">M62+N62</f>
        <v>5286</v>
      </c>
      <c r="M62" s="155"/>
      <c r="N62" s="156" t="n">
        <f aca="false">1233.4+4052.6</f>
        <v>5286</v>
      </c>
      <c r="O62" s="209"/>
      <c r="P62" s="155"/>
      <c r="Q62" s="155" t="n">
        <f aca="false">R62+S62</f>
        <v>0</v>
      </c>
      <c r="R62" s="155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54"/>
      <c r="B63" s="55" t="s">
        <v>155</v>
      </c>
      <c r="C63" s="56"/>
      <c r="D63" s="56"/>
      <c r="E63" s="56"/>
      <c r="F63" s="36"/>
      <c r="G63" s="158" t="s">
        <v>22</v>
      </c>
      <c r="H63" s="159" t="n">
        <v>13</v>
      </c>
      <c r="I63" s="160" t="n">
        <v>13</v>
      </c>
      <c r="J63" s="160" t="n">
        <v>16</v>
      </c>
      <c r="K63" s="161" t="n">
        <v>31832.71</v>
      </c>
      <c r="L63" s="161" t="n">
        <f aca="false">M63+N63</f>
        <v>13482.82</v>
      </c>
      <c r="M63" s="161" t="n">
        <v>13482.82</v>
      </c>
      <c r="N63" s="190"/>
      <c r="O63" s="163"/>
      <c r="P63" s="161"/>
      <c r="Q63" s="161" t="n">
        <f aca="false">R63+S63</f>
        <v>0</v>
      </c>
      <c r="R63" s="161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54"/>
      <c r="B64" s="55"/>
      <c r="C64" s="55"/>
      <c r="D64" s="55"/>
      <c r="E64" s="55"/>
      <c r="F64" s="71"/>
      <c r="G64" s="164" t="s">
        <v>26</v>
      </c>
      <c r="H64" s="177"/>
      <c r="I64" s="165"/>
      <c r="J64" s="165"/>
      <c r="K64" s="166"/>
      <c r="L64" s="166" t="n">
        <f aca="false">M64+N64</f>
        <v>0</v>
      </c>
      <c r="M64" s="166"/>
      <c r="N64" s="156"/>
      <c r="O64" s="168"/>
      <c r="P64" s="166"/>
      <c r="Q64" s="166" t="n">
        <f aca="false">R64+S64</f>
        <v>0</v>
      </c>
      <c r="R64" s="166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17"/>
      <c r="B65" s="18" t="s">
        <v>221</v>
      </c>
      <c r="C65" s="19" t="s">
        <v>20</v>
      </c>
      <c r="D65" s="19"/>
      <c r="E65" s="19" t="s">
        <v>278</v>
      </c>
      <c r="F65" s="20"/>
      <c r="G65" s="146" t="s">
        <v>22</v>
      </c>
      <c r="H65" s="173" t="n">
        <v>10</v>
      </c>
      <c r="I65" s="148" t="n">
        <v>2</v>
      </c>
      <c r="J65" s="148" t="n">
        <v>2</v>
      </c>
      <c r="K65" s="149" t="n">
        <v>5127.42</v>
      </c>
      <c r="L65" s="149" t="n">
        <f aca="false">M65+N65</f>
        <v>3717.82</v>
      </c>
      <c r="M65" s="149" t="n">
        <v>3717.82</v>
      </c>
      <c r="N65" s="190"/>
      <c r="O65" s="151"/>
      <c r="P65" s="149"/>
      <c r="Q65" s="149" t="n">
        <f aca="false">R65+S65</f>
        <v>0</v>
      </c>
      <c r="R65" s="149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17"/>
      <c r="B66" s="18"/>
      <c r="C66" s="18"/>
      <c r="D66" s="18"/>
      <c r="E66" s="18"/>
      <c r="F66" s="26" t="s">
        <v>233</v>
      </c>
      <c r="G66" s="152" t="s">
        <v>23</v>
      </c>
      <c r="H66" s="174" t="n">
        <v>8</v>
      </c>
      <c r="I66" s="154" t="n">
        <v>5</v>
      </c>
      <c r="J66" s="154" t="n">
        <v>5</v>
      </c>
      <c r="K66" s="155" t="n">
        <v>4052.6</v>
      </c>
      <c r="L66" s="155" t="n">
        <f aca="false">M66+N66</f>
        <v>704.8</v>
      </c>
      <c r="M66" s="155" t="n">
        <v>704.8</v>
      </c>
      <c r="N66" s="156"/>
      <c r="O66" s="157"/>
      <c r="P66" s="155"/>
      <c r="Q66" s="155" t="n">
        <f aca="false">R66+S66</f>
        <v>0</v>
      </c>
      <c r="R66" s="155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33"/>
      <c r="B67" s="34" t="s">
        <v>58</v>
      </c>
      <c r="C67" s="35" t="s">
        <v>20</v>
      </c>
      <c r="D67" s="35"/>
      <c r="E67" s="35" t="s">
        <v>52</v>
      </c>
      <c r="F67" s="36"/>
      <c r="G67" s="158" t="s">
        <v>22</v>
      </c>
      <c r="H67" s="159" t="n">
        <v>11</v>
      </c>
      <c r="I67" s="160" t="n">
        <v>7</v>
      </c>
      <c r="J67" s="160" t="n">
        <v>12</v>
      </c>
      <c r="K67" s="161" t="n">
        <v>21739.72</v>
      </c>
      <c r="L67" s="161" t="n">
        <f aca="false">M67+N67</f>
        <v>16500.69</v>
      </c>
      <c r="M67" s="161" t="n">
        <v>16500.69</v>
      </c>
      <c r="N67" s="190"/>
      <c r="O67" s="163" t="n">
        <v>10</v>
      </c>
      <c r="P67" s="161" t="n">
        <v>62059.28</v>
      </c>
      <c r="Q67" s="161" t="n">
        <f aca="false">R67+S67</f>
        <v>62059.28</v>
      </c>
      <c r="R67" s="161" t="n">
        <v>62059.28</v>
      </c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71"/>
      <c r="G68" s="164" t="s">
        <v>26</v>
      </c>
      <c r="H68" s="175"/>
      <c r="I68" s="165"/>
      <c r="J68" s="165"/>
      <c r="K68" s="166"/>
      <c r="L68" s="166" t="n">
        <f aca="false">M68+N68</f>
        <v>0</v>
      </c>
      <c r="M68" s="166"/>
      <c r="N68" s="156"/>
      <c r="O68" s="168"/>
      <c r="P68" s="166"/>
      <c r="Q68" s="166" t="n">
        <f aca="false">R68+S68</f>
        <v>0</v>
      </c>
      <c r="R68" s="166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17"/>
      <c r="B69" s="18" t="s">
        <v>269</v>
      </c>
      <c r="C69" s="19"/>
      <c r="D69" s="49"/>
      <c r="E69" s="19"/>
      <c r="F69" s="22"/>
      <c r="G69" s="146" t="s">
        <v>22</v>
      </c>
      <c r="H69" s="147" t="n">
        <v>11</v>
      </c>
      <c r="I69" s="148" t="n">
        <v>9</v>
      </c>
      <c r="J69" s="148" t="n">
        <v>9</v>
      </c>
      <c r="K69" s="149" t="n">
        <v>20127.9</v>
      </c>
      <c r="L69" s="149" t="n">
        <f aca="false">M69+N69</f>
        <v>14798.19</v>
      </c>
      <c r="M69" s="149"/>
      <c r="N69" s="190" t="n">
        <v>14798.19</v>
      </c>
      <c r="O69" s="206"/>
      <c r="P69" s="149"/>
      <c r="Q69" s="149" t="n">
        <f aca="false">R69+S69</f>
        <v>0</v>
      </c>
      <c r="R69" s="149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17"/>
      <c r="B70" s="18"/>
      <c r="C70" s="18"/>
      <c r="D70" s="18"/>
      <c r="E70" s="18"/>
      <c r="F70" s="26"/>
      <c r="G70" s="152" t="s">
        <v>26</v>
      </c>
      <c r="H70" s="176"/>
      <c r="I70" s="154"/>
      <c r="J70" s="154"/>
      <c r="K70" s="155"/>
      <c r="L70" s="155" t="n">
        <f aca="false">M70+N70</f>
        <v>0</v>
      </c>
      <c r="M70" s="155"/>
      <c r="N70" s="156"/>
      <c r="O70" s="209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54"/>
      <c r="B71" s="55" t="s">
        <v>222</v>
      </c>
      <c r="C71" s="56" t="s">
        <v>20</v>
      </c>
      <c r="D71" s="78"/>
      <c r="E71" s="56" t="s">
        <v>279</v>
      </c>
      <c r="F71" s="38"/>
      <c r="G71" s="158" t="s">
        <v>22</v>
      </c>
      <c r="H71" s="169" t="n">
        <v>24</v>
      </c>
      <c r="I71" s="160" t="n">
        <v>15</v>
      </c>
      <c r="J71" s="160" t="n">
        <v>23</v>
      </c>
      <c r="K71" s="161" t="n">
        <v>61221.69</v>
      </c>
      <c r="L71" s="161" t="n">
        <f aca="false">M71+N71</f>
        <v>3383.04</v>
      </c>
      <c r="M71" s="161" t="n">
        <v>3383.04</v>
      </c>
      <c r="N71" s="190"/>
      <c r="O71" s="163"/>
      <c r="P71" s="161"/>
      <c r="Q71" s="161" t="n">
        <f aca="false">R71+S71</f>
        <v>0</v>
      </c>
      <c r="R71" s="161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54"/>
      <c r="B72" s="55"/>
      <c r="C72" s="55"/>
      <c r="D72" s="55"/>
      <c r="E72" s="55"/>
      <c r="F72" s="42" t="s">
        <v>234</v>
      </c>
      <c r="G72" s="164" t="s">
        <v>23</v>
      </c>
      <c r="H72" s="178" t="n">
        <v>3</v>
      </c>
      <c r="I72" s="165"/>
      <c r="J72" s="165"/>
      <c r="K72" s="166"/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17"/>
      <c r="B73" s="18" t="s">
        <v>249</v>
      </c>
      <c r="C73" s="19"/>
      <c r="D73" s="49"/>
      <c r="E73" s="19"/>
      <c r="F73" s="22"/>
      <c r="G73" s="146" t="s">
        <v>22</v>
      </c>
      <c r="H73" s="147"/>
      <c r="I73" s="148"/>
      <c r="J73" s="148"/>
      <c r="K73" s="149"/>
      <c r="L73" s="149" t="n">
        <f aca="false">M73+N73</f>
        <v>0</v>
      </c>
      <c r="M73" s="149"/>
      <c r="N73" s="190"/>
      <c r="O73" s="206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17"/>
      <c r="B74" s="18"/>
      <c r="C74" s="18"/>
      <c r="D74" s="18"/>
      <c r="E74" s="18"/>
      <c r="F74" s="250" t="s">
        <v>250</v>
      </c>
      <c r="G74" s="152" t="s">
        <v>26</v>
      </c>
      <c r="H74" s="176" t="n">
        <v>5</v>
      </c>
      <c r="I74" s="154" t="n">
        <v>1</v>
      </c>
      <c r="J74" s="154" t="n">
        <v>1</v>
      </c>
      <c r="K74" s="155" t="n">
        <v>2577.4</v>
      </c>
      <c r="L74" s="155" t="n">
        <f aca="false">M74+N74</f>
        <v>0</v>
      </c>
      <c r="M74" s="155"/>
      <c r="N74" s="156"/>
      <c r="O74" s="209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33"/>
      <c r="B75" s="34" t="s">
        <v>59</v>
      </c>
      <c r="C75" s="35" t="s">
        <v>20</v>
      </c>
      <c r="D75" s="95"/>
      <c r="E75" s="35" t="s">
        <v>25</v>
      </c>
      <c r="F75" s="38"/>
      <c r="G75" s="158" t="s">
        <v>22</v>
      </c>
      <c r="H75" s="169"/>
      <c r="I75" s="160"/>
      <c r="J75" s="160"/>
      <c r="K75" s="161"/>
      <c r="L75" s="161" t="n">
        <f aca="false">M75+N75</f>
        <v>0</v>
      </c>
      <c r="M75" s="161"/>
      <c r="N75" s="190"/>
      <c r="O75" s="163"/>
      <c r="P75" s="161"/>
      <c r="Q75" s="161" t="n">
        <f aca="false">R75+S75</f>
        <v>0</v>
      </c>
      <c r="R75" s="161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34"/>
      <c r="E76" s="34"/>
      <c r="F76" s="71"/>
      <c r="G76" s="164" t="s">
        <v>26</v>
      </c>
      <c r="H76" s="153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17"/>
      <c r="B77" s="18" t="s">
        <v>60</v>
      </c>
      <c r="C77" s="19" t="s">
        <v>20</v>
      </c>
      <c r="D77" s="19"/>
      <c r="E77" s="19" t="s">
        <v>21</v>
      </c>
      <c r="F77" s="22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1046.63</v>
      </c>
      <c r="L77" s="149" t="n">
        <f aca="false">M77+N77</f>
        <v>1046.63</v>
      </c>
      <c r="M77" s="149"/>
      <c r="N77" s="190" t="n">
        <v>1046.63</v>
      </c>
      <c r="O77" s="151" t="n">
        <v>2</v>
      </c>
      <c r="P77" s="149" t="n">
        <v>3855.96</v>
      </c>
      <c r="Q77" s="149" t="n">
        <f aca="false">R77+S77</f>
        <v>3855.96</v>
      </c>
      <c r="R77" s="149" t="n">
        <v>881</v>
      </c>
      <c r="S77" s="190" t="n">
        <v>2974.96</v>
      </c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71"/>
      <c r="G78" s="164" t="s">
        <v>23</v>
      </c>
      <c r="H78" s="175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17"/>
      <c r="B79" s="18" t="s">
        <v>223</v>
      </c>
      <c r="C79" s="19" t="s">
        <v>33</v>
      </c>
      <c r="D79" s="19" t="s">
        <v>280</v>
      </c>
      <c r="E79" s="19" t="s">
        <v>259</v>
      </c>
      <c r="F79" s="20"/>
      <c r="G79" s="146" t="s">
        <v>22</v>
      </c>
      <c r="H79" s="173" t="n">
        <v>12</v>
      </c>
      <c r="I79" s="148" t="n">
        <v>4</v>
      </c>
      <c r="J79" s="148" t="n">
        <v>4</v>
      </c>
      <c r="K79" s="149" t="n">
        <v>24532.79</v>
      </c>
      <c r="L79" s="149" t="n">
        <f aca="false">M79+N79</f>
        <v>5039.32</v>
      </c>
      <c r="M79" s="149" t="n">
        <v>5039.32</v>
      </c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26" t="s">
        <v>235</v>
      </c>
      <c r="G80" s="152" t="s">
        <v>23</v>
      </c>
      <c r="H80" s="174" t="n">
        <v>24</v>
      </c>
      <c r="I80" s="154" t="n">
        <v>13</v>
      </c>
      <c r="J80" s="154" t="n">
        <v>13</v>
      </c>
      <c r="K80" s="155" t="n">
        <v>15828.92</v>
      </c>
      <c r="L80" s="155" t="n">
        <v>7075.6</v>
      </c>
      <c r="M80" s="155" t="n">
        <v>7075.6</v>
      </c>
      <c r="N80" s="156" t="n">
        <v>3981.6</v>
      </c>
      <c r="O80" s="157"/>
      <c r="P80" s="155"/>
      <c r="Q80" s="155" t="n">
        <f aca="false">R80+S80</f>
        <v>0</v>
      </c>
      <c r="R80" s="155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33"/>
      <c r="B81" s="34" t="s">
        <v>61</v>
      </c>
      <c r="C81" s="35" t="s">
        <v>33</v>
      </c>
      <c r="D81" s="56" t="s">
        <v>62</v>
      </c>
      <c r="E81" s="35" t="s">
        <v>25</v>
      </c>
      <c r="F81" s="36"/>
      <c r="G81" s="158" t="s">
        <v>22</v>
      </c>
      <c r="H81" s="159" t="n">
        <v>4</v>
      </c>
      <c r="I81" s="160" t="n">
        <v>3</v>
      </c>
      <c r="J81" s="160" t="n">
        <v>3</v>
      </c>
      <c r="K81" s="161" t="n">
        <v>4510.72</v>
      </c>
      <c r="L81" s="161" t="n">
        <f aca="false">M81+N81</f>
        <v>4510.72</v>
      </c>
      <c r="M81" s="161" t="n">
        <v>4510.72</v>
      </c>
      <c r="N81" s="190"/>
      <c r="O81" s="163" t="n">
        <v>1</v>
      </c>
      <c r="P81" s="161" t="n">
        <v>5123.54</v>
      </c>
      <c r="Q81" s="161" t="n">
        <f aca="false">R81+S81</f>
        <v>5123.54</v>
      </c>
      <c r="R81" s="161" t="n">
        <v>5123.54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33"/>
      <c r="B82" s="34"/>
      <c r="C82" s="34"/>
      <c r="D82" s="56"/>
      <c r="E82" s="35"/>
      <c r="F82" s="42" t="s">
        <v>173</v>
      </c>
      <c r="G82" s="164" t="s">
        <v>26</v>
      </c>
      <c r="H82" s="153" t="n">
        <v>4</v>
      </c>
      <c r="I82" s="165" t="n">
        <v>3</v>
      </c>
      <c r="J82" s="165" t="n">
        <v>3</v>
      </c>
      <c r="K82" s="166" t="n">
        <v>2643</v>
      </c>
      <c r="L82" s="166" t="n">
        <f aca="false">M82+N82</f>
        <v>2643</v>
      </c>
      <c r="M82" s="166" t="n">
        <f aca="false">704.8</f>
        <v>704.8</v>
      </c>
      <c r="N82" s="156" t="n">
        <v>1938.2</v>
      </c>
      <c r="O82" s="168" t="n">
        <v>2</v>
      </c>
      <c r="P82" s="166" t="n">
        <v>3171.6</v>
      </c>
      <c r="Q82" s="166" t="n">
        <f aca="false">R82+S82</f>
        <v>2907.3</v>
      </c>
      <c r="R82" s="166" t="n">
        <f aca="false">2907.3</f>
        <v>2907.3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72"/>
      <c r="B83" s="73" t="s">
        <v>63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8</v>
      </c>
      <c r="I83" s="148" t="n">
        <v>4</v>
      </c>
      <c r="J83" s="148" t="n">
        <v>5</v>
      </c>
      <c r="K83" s="149" t="n">
        <v>6604.02</v>
      </c>
      <c r="L83" s="149" t="n">
        <f aca="false">M83+N83</f>
        <v>5720.34</v>
      </c>
      <c r="M83" s="149" t="n">
        <v>1162.92</v>
      </c>
      <c r="N83" s="190" t="n">
        <v>4557.42</v>
      </c>
      <c r="O83" s="151" t="n">
        <v>9</v>
      </c>
      <c r="P83" s="149" t="n">
        <v>28668.15</v>
      </c>
      <c r="Q83" s="149" t="n">
        <f aca="false">R83+S83</f>
        <v>28668.15</v>
      </c>
      <c r="R83" s="149" t="n">
        <v>28069.07</v>
      </c>
      <c r="S83" s="190" t="n">
        <v>599.08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42" t="s">
        <v>174</v>
      </c>
      <c r="G84" s="164" t="s">
        <v>26</v>
      </c>
      <c r="H84" s="153" t="n">
        <v>7</v>
      </c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72"/>
      <c r="B85" s="73" t="s">
        <v>64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</v>
      </c>
      <c r="I85" s="148" t="n">
        <v>1</v>
      </c>
      <c r="J85" s="148" t="n">
        <v>1</v>
      </c>
      <c r="K85" s="149" t="n">
        <v>1212.02</v>
      </c>
      <c r="L85" s="149" t="n">
        <f aca="false">M85+N85</f>
        <v>0</v>
      </c>
      <c r="M85" s="149"/>
      <c r="N85" s="190"/>
      <c r="O85" s="151"/>
      <c r="P85" s="149"/>
      <c r="Q85" s="149" t="n">
        <f aca="false">R85+S85</f>
        <v>0</v>
      </c>
      <c r="R85" s="149"/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71"/>
      <c r="G86" s="164" t="s">
        <v>26</v>
      </c>
      <c r="H86" s="153"/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17"/>
      <c r="B87" s="18" t="s">
        <v>65</v>
      </c>
      <c r="C87" s="19" t="s">
        <v>33</v>
      </c>
      <c r="D87" s="19" t="s">
        <v>66</v>
      </c>
      <c r="E87" s="19" t="s">
        <v>67</v>
      </c>
      <c r="F87" s="20"/>
      <c r="G87" s="146" t="s">
        <v>22</v>
      </c>
      <c r="H87" s="159" t="n">
        <v>8</v>
      </c>
      <c r="I87" s="148" t="n">
        <v>6</v>
      </c>
      <c r="J87" s="148" t="n">
        <v>7</v>
      </c>
      <c r="K87" s="149" t="n">
        <v>8722.99</v>
      </c>
      <c r="L87" s="149" t="n">
        <f aca="false">M87+N87</f>
        <v>5752.93</v>
      </c>
      <c r="M87" s="149" t="n">
        <v>3057.07</v>
      </c>
      <c r="N87" s="190" t="n">
        <v>2695.86</v>
      </c>
      <c r="O87" s="151" t="n">
        <v>11</v>
      </c>
      <c r="P87" s="149" t="n">
        <v>45595.17</v>
      </c>
      <c r="Q87" s="149" t="n">
        <f aca="false">R87+S87</f>
        <v>43656.97</v>
      </c>
      <c r="R87" s="149" t="n">
        <v>14207.76</v>
      </c>
      <c r="S87" s="190" t="n">
        <v>29449.21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42" t="s">
        <v>236</v>
      </c>
      <c r="G88" s="164" t="s">
        <v>23</v>
      </c>
      <c r="H88" s="172" t="n">
        <v>35</v>
      </c>
      <c r="I88" s="165" t="n">
        <v>29</v>
      </c>
      <c r="J88" s="165" t="n">
        <v>29</v>
      </c>
      <c r="K88" s="166" t="n">
        <v>32865.6</v>
      </c>
      <c r="L88" s="166" t="n">
        <v>3524</v>
      </c>
      <c r="M88" s="166" t="n">
        <v>3524</v>
      </c>
      <c r="N88" s="156" t="n">
        <v>5814.6</v>
      </c>
      <c r="O88" s="168" t="n">
        <v>35</v>
      </c>
      <c r="P88" s="166" t="n">
        <v>72518.62</v>
      </c>
      <c r="Q88" s="166" t="n">
        <v>30232.1</v>
      </c>
      <c r="R88" s="166" t="n">
        <v>30232.1</v>
      </c>
      <c r="S88" s="156" t="n">
        <v>9162.4</v>
      </c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175</v>
      </c>
      <c r="C89" s="19"/>
      <c r="D89" s="19"/>
      <c r="E89" s="19"/>
      <c r="F89" s="137"/>
      <c r="G89" s="146" t="s">
        <v>22</v>
      </c>
      <c r="H89" s="147" t="n">
        <v>6</v>
      </c>
      <c r="I89" s="148" t="n">
        <v>4</v>
      </c>
      <c r="J89" s="148" t="n">
        <v>5</v>
      </c>
      <c r="K89" s="149" t="n">
        <v>7825.97</v>
      </c>
      <c r="L89" s="149" t="n">
        <f aca="false">M89+N89</f>
        <v>2035.11</v>
      </c>
      <c r="M89" s="149" t="n">
        <v>2035.11</v>
      </c>
      <c r="N89" s="190"/>
      <c r="O89" s="151"/>
      <c r="P89" s="149"/>
      <c r="Q89" s="149" t="n">
        <f aca="false">R89+S89</f>
        <v>0</v>
      </c>
      <c r="R89" s="149"/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" hidden="false" customHeight="false" outlineLevel="0" collapsed="false">
      <c r="A90" s="17"/>
      <c r="B90" s="18"/>
      <c r="C90" s="18"/>
      <c r="D90" s="18"/>
      <c r="E90" s="18"/>
      <c r="F90" s="89"/>
      <c r="G90" s="164" t="s">
        <v>26</v>
      </c>
      <c r="H90" s="178" t="n">
        <v>8</v>
      </c>
      <c r="I90" s="165" t="n">
        <v>4</v>
      </c>
      <c r="J90" s="165" t="n">
        <v>4</v>
      </c>
      <c r="K90" s="166" t="n">
        <v>7576.6</v>
      </c>
      <c r="L90" s="166" t="n">
        <f aca="false">M90+N90</f>
        <v>6343.2</v>
      </c>
      <c r="M90" s="166" t="n">
        <f aca="false">2290.6</f>
        <v>2290.6</v>
      </c>
      <c r="N90" s="156" t="n">
        <f aca="false">4052.6</f>
        <v>4052.6</v>
      </c>
      <c r="O90" s="168"/>
      <c r="P90" s="166"/>
      <c r="Q90" s="166" t="n">
        <f aca="false">R90+S90</f>
        <v>0</v>
      </c>
      <c r="R90" s="166"/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68</v>
      </c>
      <c r="C91" s="19" t="s">
        <v>20</v>
      </c>
      <c r="D91" s="19"/>
      <c r="E91" s="19" t="s">
        <v>69</v>
      </c>
      <c r="F91" s="22"/>
      <c r="G91" s="146" t="s">
        <v>22</v>
      </c>
      <c r="H91" s="147" t="n">
        <v>6</v>
      </c>
      <c r="I91" s="148" t="n">
        <v>3</v>
      </c>
      <c r="J91" s="148" t="n">
        <v>4</v>
      </c>
      <c r="K91" s="149" t="n">
        <v>7039.78</v>
      </c>
      <c r="L91" s="149" t="n">
        <f aca="false">M91+N91</f>
        <v>4786.75</v>
      </c>
      <c r="M91" s="149" t="n">
        <v>4105.29</v>
      </c>
      <c r="N91" s="190" t="n">
        <v>681.46</v>
      </c>
      <c r="O91" s="151" t="n">
        <v>15</v>
      </c>
      <c r="P91" s="149" t="n">
        <v>48957.86</v>
      </c>
      <c r="Q91" s="149" t="n">
        <f aca="false">R91+S91</f>
        <v>48957.86</v>
      </c>
      <c r="R91" s="149" t="n">
        <v>21614.18</v>
      </c>
      <c r="S91" s="190" t="n">
        <v>27343.68</v>
      </c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176</v>
      </c>
      <c r="G92" s="152" t="s">
        <v>26</v>
      </c>
      <c r="H92" s="153" t="n">
        <v>8</v>
      </c>
      <c r="I92" s="154" t="n">
        <v>3</v>
      </c>
      <c r="J92" s="154" t="n">
        <v>3</v>
      </c>
      <c r="K92" s="235" t="n">
        <v>5995.52</v>
      </c>
      <c r="L92" s="155" t="n">
        <f aca="false">M92+N92</f>
        <v>6096.52</v>
      </c>
      <c r="M92" s="155" t="n">
        <f aca="false">2819.2</f>
        <v>2819.2</v>
      </c>
      <c r="N92" s="156" t="n">
        <f aca="false">1691.52+1585.8</f>
        <v>3277.32</v>
      </c>
      <c r="O92" s="157"/>
      <c r="P92" s="155" t="n">
        <v>5462.2</v>
      </c>
      <c r="Q92" s="155" t="n">
        <f aca="false">R92+S92</f>
        <v>4405</v>
      </c>
      <c r="R92" s="155" t="n">
        <f aca="false">4405</f>
        <v>4405</v>
      </c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54"/>
      <c r="B93" s="55" t="s">
        <v>70</v>
      </c>
      <c r="C93" s="56" t="s">
        <v>20</v>
      </c>
      <c r="D93" s="56" t="s">
        <v>71</v>
      </c>
      <c r="E93" s="56" t="s">
        <v>25</v>
      </c>
      <c r="F93" s="36"/>
      <c r="G93" s="158" t="s">
        <v>22</v>
      </c>
      <c r="H93" s="169" t="n">
        <v>1</v>
      </c>
      <c r="I93" s="160"/>
      <c r="J93" s="160"/>
      <c r="K93" s="161"/>
      <c r="L93" s="161" t="n">
        <f aca="false">M93+N93</f>
        <v>0</v>
      </c>
      <c r="M93" s="161"/>
      <c r="N93" s="190"/>
      <c r="O93" s="163" t="n">
        <v>4</v>
      </c>
      <c r="P93" s="161" t="n">
        <v>27231.45</v>
      </c>
      <c r="Q93" s="161" t="n">
        <f aca="false">R93+S93</f>
        <v>7836.01</v>
      </c>
      <c r="R93" s="161" t="n">
        <v>7836.01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54"/>
      <c r="B94" s="55"/>
      <c r="C94" s="55"/>
      <c r="D94" s="55"/>
      <c r="E94" s="55"/>
      <c r="F94" s="26" t="s">
        <v>177</v>
      </c>
      <c r="G94" s="152" t="s">
        <v>26</v>
      </c>
      <c r="H94" s="153" t="n">
        <v>7</v>
      </c>
      <c r="I94" s="154" t="n">
        <v>1</v>
      </c>
      <c r="J94" s="154" t="n">
        <v>1</v>
      </c>
      <c r="K94" s="155" t="n">
        <v>1409.6</v>
      </c>
      <c r="L94" s="155" t="n">
        <f aca="false">M94+N94</f>
        <v>1409.6</v>
      </c>
      <c r="M94" s="155"/>
      <c r="N94" s="156" t="n">
        <f aca="false">1409.6</f>
        <v>1409.6</v>
      </c>
      <c r="O94" s="157"/>
      <c r="P94" s="155"/>
      <c r="Q94" s="155" t="n">
        <f aca="false">R94+S94</f>
        <v>0</v>
      </c>
      <c r="R94" s="155"/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33"/>
      <c r="B95" s="34" t="s">
        <v>72</v>
      </c>
      <c r="C95" s="35" t="s">
        <v>20</v>
      </c>
      <c r="D95" s="35"/>
      <c r="E95" s="35" t="s">
        <v>52</v>
      </c>
      <c r="F95" s="36"/>
      <c r="G95" s="146" t="s">
        <v>22</v>
      </c>
      <c r="H95" s="159" t="n">
        <v>5</v>
      </c>
      <c r="I95" s="160" t="n">
        <v>4</v>
      </c>
      <c r="J95" s="160" t="n">
        <v>4</v>
      </c>
      <c r="K95" s="161" t="n">
        <v>6532.71</v>
      </c>
      <c r="L95" s="161" t="n">
        <f aca="false">M95+N95</f>
        <v>5486.08</v>
      </c>
      <c r="M95" s="161" t="n">
        <v>5486.08</v>
      </c>
      <c r="N95" s="190"/>
      <c r="O95" s="163" t="n">
        <v>6</v>
      </c>
      <c r="P95" s="161" t="n">
        <v>44299.53</v>
      </c>
      <c r="Q95" s="161" t="n">
        <f aca="false">R95+S95</f>
        <v>44299.53</v>
      </c>
      <c r="R95" s="161" t="n">
        <v>44299.53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33"/>
      <c r="B96" s="34"/>
      <c r="C96" s="34"/>
      <c r="D96" s="34"/>
      <c r="E96" s="34"/>
      <c r="F96" s="42" t="s">
        <v>178</v>
      </c>
      <c r="G96" s="164" t="s">
        <v>26</v>
      </c>
      <c r="H96" s="171" t="n">
        <v>5</v>
      </c>
      <c r="I96" s="165" t="n">
        <v>3</v>
      </c>
      <c r="J96" s="165" t="n">
        <v>3</v>
      </c>
      <c r="K96" s="166" t="n">
        <v>2858.7</v>
      </c>
      <c r="L96" s="161" t="n">
        <f aca="false">M96+N96</f>
        <v>4052.6</v>
      </c>
      <c r="M96" s="166" t="n">
        <v>4052.6</v>
      </c>
      <c r="N96" s="156"/>
      <c r="O96" s="168" t="n">
        <v>4</v>
      </c>
      <c r="P96" s="166" t="n">
        <v>11108.48</v>
      </c>
      <c r="Q96" s="166" t="n">
        <f aca="false">R96+S96</f>
        <v>11989.48</v>
      </c>
      <c r="R96" s="166" t="n">
        <f aca="false">3347.8+8641.68</f>
        <v>11989.48</v>
      </c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73</v>
      </c>
      <c r="C97" s="19" t="s">
        <v>20</v>
      </c>
      <c r="D97" s="19"/>
      <c r="E97" s="19" t="s">
        <v>52</v>
      </c>
      <c r="F97" s="20"/>
      <c r="G97" s="146" t="s">
        <v>22</v>
      </c>
      <c r="H97" s="159" t="n">
        <v>5</v>
      </c>
      <c r="I97" s="148" t="n">
        <v>2</v>
      </c>
      <c r="J97" s="148" t="n">
        <v>2</v>
      </c>
      <c r="K97" s="149" t="n">
        <v>2277.26</v>
      </c>
      <c r="L97" s="149" t="n">
        <f aca="false">M97+N97</f>
        <v>2277.26</v>
      </c>
      <c r="M97" s="149" t="n">
        <v>2277.26</v>
      </c>
      <c r="N97" s="190"/>
      <c r="O97" s="151" t="n">
        <v>4</v>
      </c>
      <c r="P97" s="149" t="n">
        <v>11448.19</v>
      </c>
      <c r="Q97" s="149" t="n">
        <f aca="false">R97+S97</f>
        <v>10069.05</v>
      </c>
      <c r="R97" s="149" t="n">
        <v>10069.05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26" t="s">
        <v>179</v>
      </c>
      <c r="G98" s="152" t="s">
        <v>26</v>
      </c>
      <c r="H98" s="153" t="n">
        <v>7</v>
      </c>
      <c r="I98" s="154" t="n">
        <v>3</v>
      </c>
      <c r="J98" s="154" t="n">
        <v>3</v>
      </c>
      <c r="K98" s="155" t="n">
        <v>8454.6</v>
      </c>
      <c r="L98" s="155" t="n">
        <f aca="false">M98+N98</f>
        <v>12686.4</v>
      </c>
      <c r="M98" s="155" t="n">
        <v>5109.8</v>
      </c>
      <c r="N98" s="156" t="n">
        <f aca="false">4052.6+3524</f>
        <v>7576.6</v>
      </c>
      <c r="O98" s="157" t="n">
        <v>2</v>
      </c>
      <c r="P98" s="155"/>
      <c r="Q98" s="155" t="n">
        <f aca="false">R98+S98</f>
        <v>0</v>
      </c>
      <c r="R98" s="155"/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33"/>
      <c r="B99" s="34" t="s">
        <v>74</v>
      </c>
      <c r="C99" s="35" t="s">
        <v>33</v>
      </c>
      <c r="D99" s="35" t="s">
        <v>75</v>
      </c>
      <c r="E99" s="35" t="s">
        <v>25</v>
      </c>
      <c r="F99" s="36"/>
      <c r="G99" s="146" t="s">
        <v>22</v>
      </c>
      <c r="H99" s="159" t="n">
        <v>28</v>
      </c>
      <c r="I99" s="160" t="n">
        <v>23</v>
      </c>
      <c r="J99" s="160" t="n">
        <v>23</v>
      </c>
      <c r="K99" s="161" t="n">
        <v>45775.46</v>
      </c>
      <c r="L99" s="161" t="n">
        <f aca="false">M99+N99</f>
        <v>22267.64</v>
      </c>
      <c r="M99" s="161" t="n">
        <v>11782.59</v>
      </c>
      <c r="N99" s="190" t="n">
        <v>10485.05</v>
      </c>
      <c r="O99" s="163" t="n">
        <v>25</v>
      </c>
      <c r="P99" s="161" t="n">
        <v>141220.34</v>
      </c>
      <c r="Q99" s="161" t="n">
        <f aca="false">R99+S99</f>
        <v>57478.81</v>
      </c>
      <c r="R99" s="161" t="n">
        <v>42638.01</v>
      </c>
      <c r="S99" s="190" t="n">
        <v>14840.8</v>
      </c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33"/>
      <c r="B100" s="34"/>
      <c r="C100" s="34"/>
      <c r="D100" s="34"/>
      <c r="E100" s="34"/>
      <c r="F100" s="42" t="s">
        <v>270</v>
      </c>
      <c r="G100" s="164" t="s">
        <v>26</v>
      </c>
      <c r="H100" s="153"/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15858</v>
      </c>
      <c r="Q100" s="166" t="n">
        <f aca="false">R100+S100</f>
        <v>23170.3</v>
      </c>
      <c r="R100" s="166" t="n">
        <v>21936.9</v>
      </c>
      <c r="S100" s="156" t="n">
        <v>1233.4</v>
      </c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72"/>
      <c r="B101" s="73" t="s">
        <v>76</v>
      </c>
      <c r="C101" s="74" t="s">
        <v>20</v>
      </c>
      <c r="D101" s="74" t="s">
        <v>180</v>
      </c>
      <c r="E101" s="74" t="s">
        <v>25</v>
      </c>
      <c r="F101" s="20"/>
      <c r="G101" s="146" t="s">
        <v>22</v>
      </c>
      <c r="H101" s="159" t="n">
        <v>17</v>
      </c>
      <c r="I101" s="148" t="n">
        <v>15</v>
      </c>
      <c r="J101" s="148" t="n">
        <v>15</v>
      </c>
      <c r="K101" s="149" t="n">
        <v>12723.15</v>
      </c>
      <c r="L101" s="149" t="n">
        <f aca="false">M101+N101</f>
        <v>11302.98</v>
      </c>
      <c r="M101" s="149" t="n">
        <v>5035.24</v>
      </c>
      <c r="N101" s="190" t="n">
        <v>6267.74</v>
      </c>
      <c r="O101" s="151" t="n">
        <v>2</v>
      </c>
      <c r="P101" s="149" t="n">
        <v>12380.09</v>
      </c>
      <c r="Q101" s="149" t="n">
        <f aca="false">R101+S101</f>
        <v>12380.09</v>
      </c>
      <c r="R101" s="149" t="n">
        <v>12380.09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72"/>
      <c r="B102" s="73"/>
      <c r="C102" s="73"/>
      <c r="D102" s="73"/>
      <c r="E102" s="73"/>
      <c r="F102" s="42" t="s">
        <v>181</v>
      </c>
      <c r="G102" s="164" t="s">
        <v>26</v>
      </c>
      <c r="H102" s="171" t="n">
        <v>7</v>
      </c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7</v>
      </c>
      <c r="P102" s="166" t="n">
        <v>8457.6</v>
      </c>
      <c r="Q102" s="166" t="n">
        <f aca="false">R102+S102</f>
        <v>7488.5</v>
      </c>
      <c r="R102" s="165" t="n">
        <v>6431.3</v>
      </c>
      <c r="S102" s="156" t="n">
        <v>1057.2</v>
      </c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17"/>
      <c r="B103" s="18" t="s">
        <v>77</v>
      </c>
      <c r="C103" s="19" t="s">
        <v>38</v>
      </c>
      <c r="D103" s="19" t="s">
        <v>78</v>
      </c>
      <c r="E103" s="19" t="s">
        <v>25</v>
      </c>
      <c r="F103" s="22"/>
      <c r="G103" s="146" t="s">
        <v>22</v>
      </c>
      <c r="H103" s="169" t="n">
        <v>9</v>
      </c>
      <c r="I103" s="148" t="n">
        <v>8</v>
      </c>
      <c r="J103" s="148" t="n">
        <v>9</v>
      </c>
      <c r="K103" s="149" t="n">
        <v>7482.33</v>
      </c>
      <c r="L103" s="149" t="n">
        <f aca="false">M103+N103</f>
        <v>7482.33</v>
      </c>
      <c r="M103" s="149" t="n">
        <v>4148.63</v>
      </c>
      <c r="N103" s="190" t="n">
        <v>3333.7</v>
      </c>
      <c r="O103" s="151" t="n">
        <v>7</v>
      </c>
      <c r="P103" s="149" t="n">
        <v>12808.33</v>
      </c>
      <c r="Q103" s="149" t="n">
        <f aca="false">R103+S103</f>
        <v>12279.73</v>
      </c>
      <c r="R103" s="149" t="n">
        <v>8651.42</v>
      </c>
      <c r="S103" s="190" t="n">
        <v>3628.31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17"/>
      <c r="B104" s="18"/>
      <c r="C104" s="18"/>
      <c r="D104" s="18"/>
      <c r="E104" s="18"/>
      <c r="F104" s="80" t="s">
        <v>182</v>
      </c>
      <c r="G104" s="180" t="s">
        <v>26</v>
      </c>
      <c r="H104" s="159" t="n">
        <v>6</v>
      </c>
      <c r="I104" s="181" t="n">
        <v>1</v>
      </c>
      <c r="J104" s="181" t="n">
        <v>1</v>
      </c>
      <c r="K104" s="182" t="n">
        <v>4581.2</v>
      </c>
      <c r="L104" s="182" t="n">
        <f aca="false">M104+N104</f>
        <v>3876.4</v>
      </c>
      <c r="M104" s="182"/>
      <c r="N104" s="167" t="n">
        <f aca="false">3876.4</f>
        <v>3876.4</v>
      </c>
      <c r="O104" s="184" t="n">
        <v>8</v>
      </c>
      <c r="P104" s="182" t="n">
        <v>19029.6</v>
      </c>
      <c r="Q104" s="182" t="n">
        <f aca="false">R104+S104</f>
        <v>16386.6</v>
      </c>
      <c r="R104" s="182" t="n">
        <f aca="false">8986.2</f>
        <v>8986.2</v>
      </c>
      <c r="S104" s="167" t="n">
        <f aca="false">3700.2+3700.2</f>
        <v>7400.4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false" outlineLevel="0" collapsed="false">
      <c r="A105" s="17"/>
      <c r="B105" s="18"/>
      <c r="C105" s="18"/>
      <c r="D105" s="18"/>
      <c r="E105" s="18"/>
      <c r="F105" s="85" t="s">
        <v>237</v>
      </c>
      <c r="G105" s="185" t="s">
        <v>23</v>
      </c>
      <c r="H105" s="186" t="n">
        <v>2</v>
      </c>
      <c r="I105" s="154" t="n">
        <v>2</v>
      </c>
      <c r="J105" s="154" t="n">
        <v>2</v>
      </c>
      <c r="K105" s="155" t="n">
        <v>9338.6</v>
      </c>
      <c r="L105" s="155" t="n">
        <v>1585.8</v>
      </c>
      <c r="M105" s="155" t="n">
        <v>1585.8</v>
      </c>
      <c r="N105" s="156" t="n">
        <v>3347.8</v>
      </c>
      <c r="O105" s="157" t="n">
        <v>4</v>
      </c>
      <c r="P105" s="155" t="n">
        <v>8281.4</v>
      </c>
      <c r="Q105" s="155" t="n">
        <v>7752.8</v>
      </c>
      <c r="R105" s="155" t="n">
        <v>7752.8</v>
      </c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33"/>
      <c r="B106" s="34" t="s">
        <v>79</v>
      </c>
      <c r="C106" s="35" t="s">
        <v>20</v>
      </c>
      <c r="D106" s="35"/>
      <c r="E106" s="35" t="s">
        <v>52</v>
      </c>
      <c r="F106" s="38"/>
      <c r="G106" s="146" t="s">
        <v>22</v>
      </c>
      <c r="H106" s="159" t="n">
        <v>8</v>
      </c>
      <c r="I106" s="160" t="n">
        <v>4</v>
      </c>
      <c r="J106" s="160" t="n">
        <v>5</v>
      </c>
      <c r="K106" s="161" t="n">
        <v>9915.51</v>
      </c>
      <c r="L106" s="161" t="n">
        <f aca="false">M106+N106</f>
        <v>6509.89</v>
      </c>
      <c r="M106" s="161" t="n">
        <v>5452.69</v>
      </c>
      <c r="N106" s="190" t="n">
        <v>1057.2</v>
      </c>
      <c r="O106" s="163" t="n">
        <v>9</v>
      </c>
      <c r="P106" s="161" t="n">
        <v>33475.92</v>
      </c>
      <c r="Q106" s="161" t="n">
        <f aca="false">R106+S106</f>
        <v>32771.12</v>
      </c>
      <c r="R106" s="161" t="n">
        <v>23178.94</v>
      </c>
      <c r="S106" s="190" t="n">
        <v>9592.18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42"/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/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72"/>
      <c r="B108" s="73" t="s">
        <v>80</v>
      </c>
      <c r="C108" s="74" t="s">
        <v>20</v>
      </c>
      <c r="D108" s="74"/>
      <c r="E108" s="74" t="s">
        <v>81</v>
      </c>
      <c r="F108" s="20"/>
      <c r="G108" s="146" t="s">
        <v>22</v>
      </c>
      <c r="H108" s="159" t="n">
        <v>8</v>
      </c>
      <c r="I108" s="148" t="n">
        <v>5</v>
      </c>
      <c r="J108" s="148" t="n">
        <v>6</v>
      </c>
      <c r="K108" s="149" t="n">
        <v>7909.09</v>
      </c>
      <c r="L108" s="149" t="n">
        <f aca="false">M108+N108</f>
        <v>7909.09</v>
      </c>
      <c r="M108" s="149" t="n">
        <v>6657.21</v>
      </c>
      <c r="N108" s="190" t="n">
        <v>1251.88</v>
      </c>
      <c r="O108" s="151" t="n">
        <v>1</v>
      </c>
      <c r="P108" s="149" t="n">
        <v>2381.63</v>
      </c>
      <c r="Q108" s="149" t="n">
        <f aca="false">R108+S108</f>
        <v>2381.63</v>
      </c>
      <c r="R108" s="149"/>
      <c r="S108" s="190" t="n">
        <v>2381.63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72"/>
      <c r="B109" s="73"/>
      <c r="C109" s="73"/>
      <c r="D109" s="73"/>
      <c r="E109" s="73"/>
      <c r="F109" s="42" t="s">
        <v>183</v>
      </c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 t="n">
        <v>1</v>
      </c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17"/>
      <c r="B110" s="18" t="s">
        <v>82</v>
      </c>
      <c r="C110" s="19" t="s">
        <v>20</v>
      </c>
      <c r="D110" s="19" t="s">
        <v>184</v>
      </c>
      <c r="E110" s="19" t="s">
        <v>25</v>
      </c>
      <c r="F110" s="22"/>
      <c r="G110" s="146" t="s">
        <v>22</v>
      </c>
      <c r="H110" s="159" t="n">
        <v>26</v>
      </c>
      <c r="I110" s="148" t="n">
        <v>22</v>
      </c>
      <c r="J110" s="148" t="n">
        <v>28</v>
      </c>
      <c r="K110" s="149" t="n">
        <v>36614.08</v>
      </c>
      <c r="L110" s="149" t="n">
        <f aca="false">M110+N110</f>
        <v>29760.04</v>
      </c>
      <c r="M110" s="149" t="n">
        <v>15002.32</v>
      </c>
      <c r="N110" s="190" t="n">
        <v>14757.72</v>
      </c>
      <c r="O110" s="151" t="n">
        <v>4</v>
      </c>
      <c r="P110" s="149" t="n">
        <v>25421.86</v>
      </c>
      <c r="Q110" s="149" t="n">
        <f aca="false">R110+S110</f>
        <v>16087.08</v>
      </c>
      <c r="R110" s="149" t="n">
        <v>8372.97</v>
      </c>
      <c r="S110" s="190" t="n">
        <v>7714.11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17"/>
      <c r="B111" s="18"/>
      <c r="C111" s="18"/>
      <c r="D111" s="18"/>
      <c r="E111" s="18"/>
      <c r="F111" s="42" t="s">
        <v>185</v>
      </c>
      <c r="G111" s="164" t="s">
        <v>26</v>
      </c>
      <c r="H111" s="175" t="n">
        <v>3</v>
      </c>
      <c r="I111" s="165" t="n">
        <v>2</v>
      </c>
      <c r="J111" s="165" t="n">
        <v>2</v>
      </c>
      <c r="K111" s="166" t="n">
        <v>6519.4</v>
      </c>
      <c r="L111" s="166" t="n">
        <f aca="false">M111+N111</f>
        <v>2907.3</v>
      </c>
      <c r="M111" s="166"/>
      <c r="N111" s="156" t="n">
        <f aca="false">2114.4+792.9</f>
        <v>2907.3</v>
      </c>
      <c r="O111" s="168" t="n">
        <v>2</v>
      </c>
      <c r="P111" s="166" t="n">
        <v>3171.6</v>
      </c>
      <c r="Q111" s="166" t="n">
        <f aca="false">R111+S111</f>
        <v>10748.2</v>
      </c>
      <c r="R111" s="166" t="n">
        <f aca="false">2643</f>
        <v>2643</v>
      </c>
      <c r="S111" s="156" t="n">
        <f aca="false">8105.2</f>
        <v>8105.2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254</v>
      </c>
      <c r="C112" s="19" t="s">
        <v>20</v>
      </c>
      <c r="D112" s="19"/>
      <c r="E112" s="19" t="s">
        <v>25</v>
      </c>
      <c r="F112" s="20"/>
      <c r="G112" s="204" t="s">
        <v>22</v>
      </c>
      <c r="H112" s="205"/>
      <c r="I112" s="148"/>
      <c r="J112" s="148"/>
      <c r="K112" s="149"/>
      <c r="L112" s="149"/>
      <c r="M112" s="149"/>
      <c r="N112" s="190"/>
      <c r="O112" s="206"/>
      <c r="P112" s="149"/>
      <c r="Q112" s="149"/>
      <c r="R112" s="149"/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" hidden="false" customHeight="false" outlineLevel="0" collapsed="false">
      <c r="A113" s="17"/>
      <c r="B113" s="18"/>
      <c r="C113" s="18"/>
      <c r="D113" s="18"/>
      <c r="E113" s="18"/>
      <c r="F113" s="26" t="s">
        <v>271</v>
      </c>
      <c r="G113" s="207" t="s">
        <v>26</v>
      </c>
      <c r="H113" s="208" t="n">
        <v>4</v>
      </c>
      <c r="I113" s="154"/>
      <c r="J113" s="154"/>
      <c r="K113" s="155"/>
      <c r="L113" s="155"/>
      <c r="M113" s="155"/>
      <c r="N113" s="156"/>
      <c r="O113" s="209"/>
      <c r="P113" s="155"/>
      <c r="Q113" s="155"/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54"/>
      <c r="B114" s="55" t="s">
        <v>83</v>
      </c>
      <c r="C114" s="56" t="s">
        <v>20</v>
      </c>
      <c r="D114" s="56"/>
      <c r="E114" s="56" t="s">
        <v>25</v>
      </c>
      <c r="F114" s="36"/>
      <c r="G114" s="158" t="s">
        <v>22</v>
      </c>
      <c r="H114" s="159" t="n">
        <v>13</v>
      </c>
      <c r="I114" s="160" t="n">
        <v>10</v>
      </c>
      <c r="J114" s="160" t="n">
        <v>10</v>
      </c>
      <c r="K114" s="161" t="n">
        <v>9972.74</v>
      </c>
      <c r="L114" s="161" t="n">
        <f aca="false">M114+N114</f>
        <v>9100.55</v>
      </c>
      <c r="M114" s="161" t="n">
        <v>6281.55</v>
      </c>
      <c r="N114" s="190" t="n">
        <v>2819</v>
      </c>
      <c r="O114" s="163" t="n">
        <v>5</v>
      </c>
      <c r="P114" s="161" t="n">
        <v>16326.21</v>
      </c>
      <c r="Q114" s="161" t="n">
        <f aca="false">R114+S114</f>
        <v>12699.66</v>
      </c>
      <c r="R114" s="161" t="n">
        <v>10585.46</v>
      </c>
      <c r="S114" s="190" t="n">
        <v>2114.2</v>
      </c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54"/>
      <c r="B115" s="55"/>
      <c r="C115" s="55"/>
      <c r="D115" s="55"/>
      <c r="E115" s="55"/>
      <c r="F115" s="26" t="s">
        <v>186</v>
      </c>
      <c r="G115" s="152" t="s">
        <v>26</v>
      </c>
      <c r="H115" s="153" t="n">
        <v>4</v>
      </c>
      <c r="I115" s="154" t="n">
        <v>1</v>
      </c>
      <c r="J115" s="154" t="n">
        <v>1</v>
      </c>
      <c r="K115" s="155" t="n">
        <v>4418.3</v>
      </c>
      <c r="L115" s="155" t="n">
        <f aca="false">M115+N115</f>
        <v>0</v>
      </c>
      <c r="M115" s="155"/>
      <c r="N115" s="156"/>
      <c r="O115" s="157" t="n">
        <v>9</v>
      </c>
      <c r="P115" s="155" t="n">
        <v>11805.4</v>
      </c>
      <c r="Q115" s="155" t="n">
        <f aca="false">R115+S115</f>
        <v>22553.6</v>
      </c>
      <c r="R115" s="155" t="n">
        <f aca="false">528.6</f>
        <v>528.6</v>
      </c>
      <c r="S115" s="156" t="n">
        <f aca="false">22025</f>
        <v>22025</v>
      </c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33"/>
      <c r="B116" s="34" t="s">
        <v>84</v>
      </c>
      <c r="C116" s="35" t="s">
        <v>20</v>
      </c>
      <c r="D116" s="35"/>
      <c r="E116" s="35" t="s">
        <v>52</v>
      </c>
      <c r="F116" s="36"/>
      <c r="G116" s="146" t="s">
        <v>22</v>
      </c>
      <c r="H116" s="159" t="n">
        <v>29</v>
      </c>
      <c r="I116" s="160" t="n">
        <v>18</v>
      </c>
      <c r="J116" s="160" t="n">
        <v>27</v>
      </c>
      <c r="K116" s="161" t="n">
        <v>49872.28</v>
      </c>
      <c r="L116" s="161" t="n">
        <f aca="false">M116+N116</f>
        <v>33320.63</v>
      </c>
      <c r="M116" s="161" t="n">
        <v>12299.99</v>
      </c>
      <c r="N116" s="190" t="n">
        <v>21020.64</v>
      </c>
      <c r="O116" s="163" t="n">
        <v>26</v>
      </c>
      <c r="P116" s="161" t="n">
        <v>50568.54</v>
      </c>
      <c r="Q116" s="161" t="n">
        <f aca="false">R116+S116</f>
        <v>48972.74</v>
      </c>
      <c r="R116" s="161" t="n">
        <v>32814.22</v>
      </c>
      <c r="S116" s="190" t="n">
        <v>16158.52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71"/>
      <c r="G117" s="164" t="s">
        <v>26</v>
      </c>
      <c r="H117" s="153"/>
      <c r="I117" s="165"/>
      <c r="J117" s="165"/>
      <c r="K117" s="166"/>
      <c r="L117" s="166" t="n">
        <f aca="false">M117+N117</f>
        <v>0</v>
      </c>
      <c r="M117" s="166"/>
      <c r="N117" s="156"/>
      <c r="O117" s="168"/>
      <c r="P117" s="166"/>
      <c r="Q117" s="166" t="n">
        <f aca="false">R117+S117</f>
        <v>0</v>
      </c>
      <c r="R117" s="166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17"/>
      <c r="B118" s="18" t="s">
        <v>85</v>
      </c>
      <c r="C118" s="19" t="s">
        <v>20</v>
      </c>
      <c r="D118" s="19"/>
      <c r="E118" s="19" t="s">
        <v>25</v>
      </c>
      <c r="F118" s="87"/>
      <c r="G118" s="146" t="s">
        <v>22</v>
      </c>
      <c r="H118" s="169" t="n">
        <v>4</v>
      </c>
      <c r="I118" s="148" t="n">
        <v>2</v>
      </c>
      <c r="J118" s="148" t="n">
        <v>2</v>
      </c>
      <c r="K118" s="149" t="n">
        <v>1080.9</v>
      </c>
      <c r="L118" s="149" t="n">
        <f aca="false">M118+N118</f>
        <v>528.6</v>
      </c>
      <c r="M118" s="149" t="n">
        <v>528.6</v>
      </c>
      <c r="N118" s="190"/>
      <c r="O118" s="151" t="n">
        <v>5</v>
      </c>
      <c r="P118" s="149" t="n">
        <v>53507.38</v>
      </c>
      <c r="Q118" s="149" t="n">
        <f aca="false">R118+S118</f>
        <v>1162.92</v>
      </c>
      <c r="R118" s="149" t="n">
        <v>1162.92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88"/>
      <c r="G119" s="152" t="s">
        <v>26</v>
      </c>
      <c r="H119" s="153"/>
      <c r="I119" s="154"/>
      <c r="J119" s="154"/>
      <c r="K119" s="155"/>
      <c r="L119" s="155" t="n">
        <f aca="false">M119+N119</f>
        <v>0</v>
      </c>
      <c r="M119" s="155"/>
      <c r="N119" s="156"/>
      <c r="O119" s="157"/>
      <c r="P119" s="155"/>
      <c r="Q119" s="155" t="n">
        <f aca="false">R119+S119</f>
        <v>0</v>
      </c>
      <c r="R119" s="155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17"/>
      <c r="B120" s="73" t="s">
        <v>86</v>
      </c>
      <c r="C120" s="74" t="s">
        <v>33</v>
      </c>
      <c r="D120" s="74" t="s">
        <v>87</v>
      </c>
      <c r="E120" s="74" t="s">
        <v>88</v>
      </c>
      <c r="F120" s="20"/>
      <c r="G120" s="146" t="s">
        <v>22</v>
      </c>
      <c r="H120" s="169" t="n">
        <v>26</v>
      </c>
      <c r="I120" s="148" t="n">
        <v>16</v>
      </c>
      <c r="J120" s="148" t="n">
        <v>20</v>
      </c>
      <c r="K120" s="149" t="n">
        <v>21531.2</v>
      </c>
      <c r="L120" s="149" t="n">
        <f aca="false">M120+N120</f>
        <v>17200.17</v>
      </c>
      <c r="M120" s="149" t="n">
        <v>11020.18</v>
      </c>
      <c r="N120" s="190" t="n">
        <v>6179.99</v>
      </c>
      <c r="O120" s="151" t="n">
        <v>16</v>
      </c>
      <c r="P120" s="149" t="n">
        <v>25230.26</v>
      </c>
      <c r="Q120" s="149" t="n">
        <f aca="false">R120+S120</f>
        <v>12627.56</v>
      </c>
      <c r="R120" s="149" t="n">
        <v>12627.56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73"/>
      <c r="C121" s="73"/>
      <c r="D121" s="73"/>
      <c r="E121" s="73"/>
      <c r="F121" s="42" t="s">
        <v>238</v>
      </c>
      <c r="G121" s="164" t="s">
        <v>23</v>
      </c>
      <c r="H121" s="171" t="n">
        <v>20</v>
      </c>
      <c r="I121" s="165" t="n">
        <v>10</v>
      </c>
      <c r="J121" s="165" t="n">
        <v>10</v>
      </c>
      <c r="K121" s="166" t="n">
        <v>10419.5</v>
      </c>
      <c r="L121" s="166" t="n">
        <v>5990.8</v>
      </c>
      <c r="M121" s="166" t="n">
        <v>5990.8</v>
      </c>
      <c r="N121" s="156"/>
      <c r="O121" s="168" t="n">
        <v>12</v>
      </c>
      <c r="P121" s="166" t="n">
        <v>28808.7</v>
      </c>
      <c r="Q121" s="166" t="n">
        <v>20527.3</v>
      </c>
      <c r="R121" s="166" t="n">
        <v>20527.3</v>
      </c>
      <c r="S121" s="156" t="n">
        <v>1585.8</v>
      </c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" hidden="false" customHeight="true" outlineLevel="0" collapsed="false">
      <c r="A122" s="17"/>
      <c r="B122" s="18" t="s">
        <v>89</v>
      </c>
      <c r="C122" s="19" t="s">
        <v>20</v>
      </c>
      <c r="D122" s="19" t="s">
        <v>90</v>
      </c>
      <c r="E122" s="19" t="s">
        <v>42</v>
      </c>
      <c r="F122" s="20"/>
      <c r="G122" s="146" t="s">
        <v>22</v>
      </c>
      <c r="H122" s="159" t="n">
        <v>22</v>
      </c>
      <c r="I122" s="148" t="n">
        <v>13</v>
      </c>
      <c r="J122" s="148" t="n">
        <v>16</v>
      </c>
      <c r="K122" s="149" t="n">
        <v>49237.49</v>
      </c>
      <c r="L122" s="149" t="n">
        <f aca="false">M122+N122</f>
        <v>41123.37</v>
      </c>
      <c r="M122" s="149" t="n">
        <v>17842.41</v>
      </c>
      <c r="N122" s="190" t="n">
        <v>23280.96</v>
      </c>
      <c r="O122" s="151" t="n">
        <v>19</v>
      </c>
      <c r="P122" s="149" t="n">
        <v>67670.88</v>
      </c>
      <c r="Q122" s="149" t="n">
        <f aca="false">R122+S122</f>
        <v>67667.88</v>
      </c>
      <c r="R122" s="149" t="n">
        <v>51532.2</v>
      </c>
      <c r="S122" s="190" t="n">
        <v>16135.68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 t="s">
        <v>239</v>
      </c>
      <c r="G123" s="152" t="s">
        <v>23</v>
      </c>
      <c r="H123" s="153"/>
      <c r="I123" s="154"/>
      <c r="J123" s="154"/>
      <c r="K123" s="155"/>
      <c r="L123" s="155" t="n">
        <f aca="false">M123+N123</f>
        <v>0</v>
      </c>
      <c r="M123" s="155"/>
      <c r="N123" s="156"/>
      <c r="O123" s="157"/>
      <c r="P123" s="155"/>
      <c r="Q123" s="155" t="n">
        <f aca="false">R123+S123</f>
        <v>0</v>
      </c>
      <c r="R123" s="155"/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 t="s">
        <v>91</v>
      </c>
      <c r="C124" s="35" t="s">
        <v>33</v>
      </c>
      <c r="D124" s="35" t="s">
        <v>92</v>
      </c>
      <c r="E124" s="35" t="s">
        <v>25</v>
      </c>
      <c r="F124" s="38" t="s">
        <v>239</v>
      </c>
      <c r="G124" s="146" t="s">
        <v>22</v>
      </c>
      <c r="H124" s="159" t="n">
        <v>25</v>
      </c>
      <c r="I124" s="160" t="n">
        <v>10</v>
      </c>
      <c r="J124" s="160" t="n">
        <v>10</v>
      </c>
      <c r="K124" s="161" t="n">
        <v>31421.82</v>
      </c>
      <c r="L124" s="161" t="n">
        <f aca="false">M124+N124</f>
        <v>23522.7</v>
      </c>
      <c r="M124" s="161" t="n">
        <v>4915.98</v>
      </c>
      <c r="N124" s="190" t="n">
        <v>18606.72</v>
      </c>
      <c r="O124" s="163" t="n">
        <v>16</v>
      </c>
      <c r="P124" s="161" t="n">
        <v>123375.91</v>
      </c>
      <c r="Q124" s="161" t="n">
        <f aca="false">R124+S124</f>
        <v>78950.02</v>
      </c>
      <c r="R124" s="161" t="n">
        <v>55873.9</v>
      </c>
      <c r="S124" s="190" t="n">
        <v>23076.12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/>
      <c r="C125" s="34"/>
      <c r="D125" s="34"/>
      <c r="E125" s="34"/>
      <c r="F125" s="89"/>
      <c r="G125" s="187" t="s">
        <v>23</v>
      </c>
      <c r="H125" s="169"/>
      <c r="I125" s="188"/>
      <c r="J125" s="188"/>
      <c r="K125" s="189"/>
      <c r="L125" s="189" t="n">
        <f aca="false">M125+N125</f>
        <v>0</v>
      </c>
      <c r="M125" s="189"/>
      <c r="N125" s="167"/>
      <c r="O125" s="191"/>
      <c r="P125" s="189"/>
      <c r="Q125" s="189" t="n">
        <f aca="false">R125+S125</f>
        <v>0</v>
      </c>
      <c r="R125" s="189"/>
      <c r="S125" s="167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187</v>
      </c>
      <c r="G126" s="164" t="s">
        <v>26</v>
      </c>
      <c r="H126" s="171" t="n">
        <v>5</v>
      </c>
      <c r="I126" s="165" t="n">
        <v>1</v>
      </c>
      <c r="J126" s="165" t="n">
        <v>2</v>
      </c>
      <c r="K126" s="166" t="n">
        <v>4193.56</v>
      </c>
      <c r="L126" s="166" t="n">
        <f aca="false">M126+N126</f>
        <v>4193.56</v>
      </c>
      <c r="M126" s="166" t="n">
        <f aca="false">2266.65+23.95</f>
        <v>2290.6</v>
      </c>
      <c r="N126" s="156" t="n">
        <v>1902.96</v>
      </c>
      <c r="O126" s="168" t="n">
        <v>10</v>
      </c>
      <c r="P126" s="166" t="n">
        <v>29143.12</v>
      </c>
      <c r="Q126" s="166" t="n">
        <f aca="false">R126+S126</f>
        <v>39891.68</v>
      </c>
      <c r="R126" s="166" t="n">
        <f aca="false">29167.43-47.9+23.95</f>
        <v>29143.48</v>
      </c>
      <c r="S126" s="156" t="n">
        <v>10748.2</v>
      </c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17"/>
      <c r="B127" s="18" t="s">
        <v>93</v>
      </c>
      <c r="C127" s="19" t="s">
        <v>20</v>
      </c>
      <c r="D127" s="49"/>
      <c r="E127" s="19" t="s">
        <v>50</v>
      </c>
      <c r="F127" s="87"/>
      <c r="G127" s="146" t="s">
        <v>22</v>
      </c>
      <c r="H127" s="169" t="n">
        <v>6</v>
      </c>
      <c r="I127" s="148"/>
      <c r="J127" s="148"/>
      <c r="K127" s="149"/>
      <c r="L127" s="149" t="n">
        <f aca="false">M127+N127</f>
        <v>0</v>
      </c>
      <c r="M127" s="149"/>
      <c r="N127" s="190"/>
      <c r="O127" s="151"/>
      <c r="P127" s="149"/>
      <c r="Q127" s="149" t="n">
        <f aca="false">R127+S127</f>
        <v>0</v>
      </c>
      <c r="R127" s="149"/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88" t="s">
        <v>188</v>
      </c>
      <c r="G128" s="152" t="s">
        <v>26</v>
      </c>
      <c r="H128" s="171" t="n">
        <v>6</v>
      </c>
      <c r="I128" s="154"/>
      <c r="J128" s="154"/>
      <c r="K128" s="155"/>
      <c r="L128" s="155" t="n">
        <f aca="false">M128+N128</f>
        <v>0</v>
      </c>
      <c r="M128" s="155"/>
      <c r="N128" s="156"/>
      <c r="O128" s="157"/>
      <c r="P128" s="155"/>
      <c r="Q128" s="155" t="n">
        <f aca="false">R128+S128</f>
        <v>0</v>
      </c>
      <c r="R128" s="155"/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" hidden="false" customHeight="true" outlineLevel="0" collapsed="false">
      <c r="A129" s="54"/>
      <c r="B129" s="55" t="s">
        <v>94</v>
      </c>
      <c r="C129" s="56" t="s">
        <v>20</v>
      </c>
      <c r="D129" s="56"/>
      <c r="E129" s="56" t="s">
        <v>52</v>
      </c>
      <c r="F129" s="36"/>
      <c r="G129" s="158" t="s">
        <v>22</v>
      </c>
      <c r="H129" s="159" t="n">
        <v>10</v>
      </c>
      <c r="I129" s="160" t="n">
        <v>6</v>
      </c>
      <c r="J129" s="160" t="n">
        <v>6</v>
      </c>
      <c r="K129" s="161" t="n">
        <v>5938.38</v>
      </c>
      <c r="L129" s="161" t="n">
        <f aca="false">M129+N129</f>
        <v>4891.75</v>
      </c>
      <c r="M129" s="161" t="n">
        <v>2133.78</v>
      </c>
      <c r="N129" s="190" t="n">
        <v>2757.97</v>
      </c>
      <c r="O129" s="163" t="n">
        <v>8</v>
      </c>
      <c r="P129" s="161" t="n">
        <v>22293.04</v>
      </c>
      <c r="Q129" s="161" t="n">
        <f aca="false">R129+S129</f>
        <v>22293.04</v>
      </c>
      <c r="R129" s="161" t="n">
        <v>17787.53</v>
      </c>
      <c r="S129" s="190" t="n">
        <v>4505.51</v>
      </c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42" t="s">
        <v>189</v>
      </c>
      <c r="G130" s="164" t="s">
        <v>26</v>
      </c>
      <c r="H130" s="171" t="n">
        <v>10</v>
      </c>
      <c r="I130" s="154" t="n">
        <v>1</v>
      </c>
      <c r="J130" s="154" t="n">
        <v>1</v>
      </c>
      <c r="K130" s="155" t="n">
        <v>2446.8</v>
      </c>
      <c r="L130" s="155" t="n">
        <f aca="false">M130+N130</f>
        <v>1938.2</v>
      </c>
      <c r="M130" s="155"/>
      <c r="N130" s="156" t="n">
        <v>1938.2</v>
      </c>
      <c r="O130" s="157" t="n">
        <v>5</v>
      </c>
      <c r="P130" s="155" t="n">
        <v>6871.8</v>
      </c>
      <c r="Q130" s="155" t="n">
        <f aca="false">R130+S130</f>
        <v>9242.4</v>
      </c>
      <c r="R130" s="155" t="n">
        <f aca="false">1585.8+1585.8</f>
        <v>3171.6</v>
      </c>
      <c r="S130" s="156" t="n">
        <v>6070.8</v>
      </c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33"/>
      <c r="B131" s="34" t="s">
        <v>95</v>
      </c>
      <c r="C131" s="35" t="s">
        <v>33</v>
      </c>
      <c r="D131" s="35" t="s">
        <v>96</v>
      </c>
      <c r="E131" s="35" t="s">
        <v>88</v>
      </c>
      <c r="F131" s="22"/>
      <c r="G131" s="146" t="s">
        <v>22</v>
      </c>
      <c r="H131" s="159" t="n">
        <v>14</v>
      </c>
      <c r="I131" s="160" t="n">
        <v>8</v>
      </c>
      <c r="J131" s="192" t="n">
        <v>8</v>
      </c>
      <c r="K131" s="161" t="n">
        <v>11316.44</v>
      </c>
      <c r="L131" s="161" t="n">
        <f aca="false">M131+N131</f>
        <v>11316.44</v>
      </c>
      <c r="M131" s="161" t="n">
        <v>11316.44</v>
      </c>
      <c r="N131" s="190"/>
      <c r="O131" s="163"/>
      <c r="P131" s="161"/>
      <c r="Q131" s="161" t="n">
        <f aca="false">R131+S131</f>
        <v>0</v>
      </c>
      <c r="R131" s="161"/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 t="s">
        <v>240</v>
      </c>
      <c r="G132" s="164" t="s">
        <v>23</v>
      </c>
      <c r="H132" s="171" t="n">
        <v>6</v>
      </c>
      <c r="I132" s="165" t="n">
        <v>4</v>
      </c>
      <c r="J132" s="165" t="n">
        <v>4</v>
      </c>
      <c r="K132" s="166" t="n">
        <v>2114.4</v>
      </c>
      <c r="L132" s="166" t="n">
        <f aca="false">M132+N132</f>
        <v>2114.4</v>
      </c>
      <c r="M132" s="166"/>
      <c r="N132" s="156" t="n">
        <v>2114.4</v>
      </c>
      <c r="O132" s="168" t="n">
        <v>2</v>
      </c>
      <c r="P132" s="166" t="n">
        <v>4405</v>
      </c>
      <c r="Q132" s="166" t="n">
        <f aca="false">R132+S132</f>
        <v>4405</v>
      </c>
      <c r="R132" s="166"/>
      <c r="S132" s="156" t="n">
        <v>4405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72"/>
      <c r="B133" s="73" t="s">
        <v>97</v>
      </c>
      <c r="C133" s="74" t="s">
        <v>20</v>
      </c>
      <c r="D133" s="74"/>
      <c r="E133" s="74" t="s">
        <v>98</v>
      </c>
      <c r="F133" s="20"/>
      <c r="G133" s="146" t="s">
        <v>22</v>
      </c>
      <c r="H133" s="159" t="n">
        <v>8</v>
      </c>
      <c r="I133" s="148" t="n">
        <v>7</v>
      </c>
      <c r="J133" s="148" t="n">
        <v>8</v>
      </c>
      <c r="K133" s="149" t="n">
        <v>16726.6</v>
      </c>
      <c r="L133" s="149" t="n">
        <f aca="false">M133+N133</f>
        <v>16726.6</v>
      </c>
      <c r="M133" s="149" t="n">
        <v>2223.64</v>
      </c>
      <c r="N133" s="190" t="n">
        <v>14502.96</v>
      </c>
      <c r="O133" s="151" t="n">
        <v>9</v>
      </c>
      <c r="P133" s="149" t="n">
        <v>43045.94</v>
      </c>
      <c r="Q133" s="149" t="n">
        <f aca="false">R133+S133</f>
        <v>39667.8</v>
      </c>
      <c r="R133" s="149" t="n">
        <v>19174.92</v>
      </c>
      <c r="S133" s="190" t="n">
        <v>20492.88</v>
      </c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72"/>
      <c r="B134" s="73"/>
      <c r="C134" s="73"/>
      <c r="D134" s="73"/>
      <c r="E134" s="73"/>
      <c r="F134" s="42" t="s">
        <v>241</v>
      </c>
      <c r="G134" s="164" t="s">
        <v>23</v>
      </c>
      <c r="H134" s="172" t="n">
        <v>19</v>
      </c>
      <c r="I134" s="165" t="n">
        <v>14</v>
      </c>
      <c r="J134" s="165" t="n">
        <v>14</v>
      </c>
      <c r="K134" s="166" t="n">
        <v>12510.2</v>
      </c>
      <c r="L134" s="166" t="n">
        <v>2605.89</v>
      </c>
      <c r="M134" s="166" t="n">
        <v>2605.89</v>
      </c>
      <c r="N134" s="156" t="n">
        <v>2680.11</v>
      </c>
      <c r="O134" s="168" t="n">
        <v>11</v>
      </c>
      <c r="P134" s="166" t="n">
        <v>28192</v>
      </c>
      <c r="Q134" s="166" t="n">
        <v>18677.2</v>
      </c>
      <c r="R134" s="166" t="n">
        <v>18677.2</v>
      </c>
      <c r="S134" s="156" t="n">
        <v>2643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 t="s">
        <v>156</v>
      </c>
      <c r="C135" s="19"/>
      <c r="D135" s="19"/>
      <c r="E135" s="19"/>
      <c r="F135" s="20"/>
      <c r="G135" s="146" t="s">
        <v>22</v>
      </c>
      <c r="H135" s="173" t="n">
        <v>25</v>
      </c>
      <c r="I135" s="148" t="n">
        <v>18</v>
      </c>
      <c r="J135" s="148" t="n">
        <v>23</v>
      </c>
      <c r="K135" s="149" t="n">
        <v>59251.48</v>
      </c>
      <c r="L135" s="149" t="n">
        <f aca="false">M135+N135</f>
        <v>55268.48</v>
      </c>
      <c r="M135" s="149" t="n">
        <v>14834.62</v>
      </c>
      <c r="N135" s="190" t="n">
        <v>40433.86</v>
      </c>
      <c r="O135" s="151"/>
      <c r="P135" s="149"/>
      <c r="Q135" s="149" t="n">
        <f aca="false">R135+S135</f>
        <v>0</v>
      </c>
      <c r="R135" s="149"/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/>
      <c r="C136" s="18"/>
      <c r="D136" s="18"/>
      <c r="E136" s="18"/>
      <c r="F136" s="89" t="s">
        <v>272</v>
      </c>
      <c r="G136" s="187" t="s">
        <v>26</v>
      </c>
      <c r="H136" s="172" t="n">
        <v>11</v>
      </c>
      <c r="I136" s="188" t="n">
        <v>5</v>
      </c>
      <c r="J136" s="188" t="n">
        <v>5</v>
      </c>
      <c r="K136" s="189" t="n">
        <v>4754.4</v>
      </c>
      <c r="L136" s="189" t="n">
        <f aca="false">M136+N136</f>
        <v>4581.2</v>
      </c>
      <c r="M136" s="189" t="n">
        <f aca="false">1233.4</f>
        <v>1233.4</v>
      </c>
      <c r="N136" s="167" t="n">
        <f aca="false">3347.8</f>
        <v>3347.8</v>
      </c>
      <c r="O136" s="191"/>
      <c r="P136" s="189"/>
      <c r="Q136" s="189" t="n">
        <f aca="false">R136+S136</f>
        <v>0</v>
      </c>
      <c r="R136" s="189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71"/>
      <c r="G137" s="164" t="s">
        <v>23</v>
      </c>
      <c r="H137" s="177"/>
      <c r="I137" s="165"/>
      <c r="J137" s="165"/>
      <c r="K137" s="166"/>
      <c r="L137" s="166" t="n">
        <f aca="false">M137+N137</f>
        <v>0</v>
      </c>
      <c r="M137" s="166"/>
      <c r="N137" s="156"/>
      <c r="O137" s="168"/>
      <c r="P137" s="166"/>
      <c r="Q137" s="166" t="n">
        <f aca="false">R137+S137</f>
        <v>0</v>
      </c>
      <c r="R137" s="166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 t="s">
        <v>190</v>
      </c>
      <c r="C138" s="19"/>
      <c r="D138" s="19"/>
      <c r="E138" s="19"/>
      <c r="F138" s="20"/>
      <c r="G138" s="146" t="s">
        <v>22</v>
      </c>
      <c r="H138" s="173" t="n">
        <v>7</v>
      </c>
      <c r="I138" s="148"/>
      <c r="J138" s="148"/>
      <c r="K138" s="149"/>
      <c r="L138" s="149" t="n">
        <f aca="false">M138+N138</f>
        <v>0</v>
      </c>
      <c r="M138" s="149"/>
      <c r="N138" s="190"/>
      <c r="O138" s="151"/>
      <c r="P138" s="149"/>
      <c r="Q138" s="149" t="n">
        <f aca="false">R138+S138</f>
        <v>0</v>
      </c>
      <c r="R138" s="149"/>
      <c r="S138" s="190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26" t="s">
        <v>242</v>
      </c>
      <c r="G139" s="152" t="s">
        <v>23</v>
      </c>
      <c r="H139" s="174" t="n">
        <v>2</v>
      </c>
      <c r="I139" s="154"/>
      <c r="J139" s="154"/>
      <c r="K139" s="155"/>
      <c r="L139" s="155" t="n">
        <f aca="false">M139+N139</f>
        <v>0</v>
      </c>
      <c r="M139" s="155"/>
      <c r="N139" s="156"/>
      <c r="O139" s="157"/>
      <c r="P139" s="155"/>
      <c r="Q139" s="155" t="n">
        <f aca="false">R139+S139</f>
        <v>0</v>
      </c>
      <c r="R139" s="155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 t="s">
        <v>99</v>
      </c>
      <c r="C140" s="56" t="s">
        <v>33</v>
      </c>
      <c r="D140" s="56" t="s">
        <v>100</v>
      </c>
      <c r="E140" s="56" t="s">
        <v>101</v>
      </c>
      <c r="F140" s="36"/>
      <c r="G140" s="158" t="s">
        <v>22</v>
      </c>
      <c r="H140" s="159" t="n">
        <v>25</v>
      </c>
      <c r="I140" s="160" t="n">
        <v>17</v>
      </c>
      <c r="J140" s="160" t="n">
        <v>17</v>
      </c>
      <c r="K140" s="161" t="n">
        <v>5109.8</v>
      </c>
      <c r="L140" s="161" t="n">
        <f aca="false">M140+N140</f>
        <v>4757.4</v>
      </c>
      <c r="M140" s="161" t="n">
        <v>4493.1</v>
      </c>
      <c r="N140" s="190" t="n">
        <v>264.3</v>
      </c>
      <c r="O140" s="163" t="n">
        <v>23</v>
      </c>
      <c r="P140" s="161" t="n">
        <v>41618.89</v>
      </c>
      <c r="Q140" s="161" t="n">
        <f aca="false">R140+S140</f>
        <v>38323.95</v>
      </c>
      <c r="R140" s="161" t="n">
        <v>27295.59</v>
      </c>
      <c r="S140" s="190" t="n">
        <v>11028.36</v>
      </c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54"/>
      <c r="B141" s="55"/>
      <c r="C141" s="55"/>
      <c r="D141" s="55"/>
      <c r="E141" s="55"/>
      <c r="F141" s="80" t="s">
        <v>191</v>
      </c>
      <c r="G141" s="180" t="s">
        <v>26</v>
      </c>
      <c r="H141" s="169" t="n">
        <v>9</v>
      </c>
      <c r="I141" s="181" t="n">
        <v>5</v>
      </c>
      <c r="J141" s="181" t="n">
        <v>5</v>
      </c>
      <c r="K141" s="182" t="n">
        <v>4228.8</v>
      </c>
      <c r="L141" s="182" t="n">
        <f aca="false">M141+N141</f>
        <v>2643</v>
      </c>
      <c r="M141" s="182" t="n">
        <f aca="false">2643</f>
        <v>2643</v>
      </c>
      <c r="N141" s="167"/>
      <c r="O141" s="184" t="n">
        <v>3</v>
      </c>
      <c r="P141" s="182" t="n">
        <v>5374.1</v>
      </c>
      <c r="Q141" s="161" t="n">
        <f aca="false">R141+S141</f>
        <v>6607.5</v>
      </c>
      <c r="R141" s="182" t="n">
        <f aca="false">1673.9+3700.2</f>
        <v>5374.1</v>
      </c>
      <c r="S141" s="167" t="n">
        <f aca="false">1233.4</f>
        <v>1233.4</v>
      </c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/>
      <c r="C142" s="55"/>
      <c r="D142" s="55"/>
      <c r="E142" s="55"/>
      <c r="F142" s="42"/>
      <c r="G142" s="164" t="s">
        <v>23</v>
      </c>
      <c r="H142" s="175"/>
      <c r="I142" s="165"/>
      <c r="J142" s="165"/>
      <c r="K142" s="166"/>
      <c r="L142" s="166" t="n">
        <f aca="false">M142+N142</f>
        <v>0</v>
      </c>
      <c r="M142" s="166"/>
      <c r="N142" s="156"/>
      <c r="O142" s="168"/>
      <c r="P142" s="166"/>
      <c r="Q142" s="166" t="n">
        <f aca="false">R142+S142</f>
        <v>0</v>
      </c>
      <c r="R142" s="166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17"/>
      <c r="B143" s="18" t="s">
        <v>224</v>
      </c>
      <c r="C143" s="19"/>
      <c r="D143" s="19"/>
      <c r="E143" s="19"/>
      <c r="F143" s="20"/>
      <c r="G143" s="146" t="s">
        <v>22</v>
      </c>
      <c r="H143" s="147" t="n">
        <v>5</v>
      </c>
      <c r="I143" s="148" t="n">
        <v>4</v>
      </c>
      <c r="J143" s="148" t="n">
        <v>5</v>
      </c>
      <c r="K143" s="149" t="n">
        <v>4673.26</v>
      </c>
      <c r="L143" s="149" t="n">
        <f aca="false">M143+N143</f>
        <v>4673.26</v>
      </c>
      <c r="M143" s="149" t="n">
        <v>3968.46</v>
      </c>
      <c r="N143" s="190" t="n">
        <v>704.8</v>
      </c>
      <c r="O143" s="151"/>
      <c r="P143" s="149"/>
      <c r="Q143" s="149" t="n">
        <f aca="false">R143+S143</f>
        <v>0</v>
      </c>
      <c r="R143" s="149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17"/>
      <c r="B144" s="18"/>
      <c r="C144" s="18"/>
      <c r="D144" s="18"/>
      <c r="E144" s="18"/>
      <c r="F144" s="26" t="s">
        <v>273</v>
      </c>
      <c r="G144" s="152" t="s">
        <v>26</v>
      </c>
      <c r="H144" s="176" t="n">
        <v>6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102</v>
      </c>
      <c r="C145" s="35" t="s">
        <v>20</v>
      </c>
      <c r="D145" s="35"/>
      <c r="E145" s="35" t="s">
        <v>25</v>
      </c>
      <c r="F145" s="36"/>
      <c r="G145" s="158" t="s">
        <v>22</v>
      </c>
      <c r="H145" s="169" t="n">
        <v>18</v>
      </c>
      <c r="I145" s="160" t="n">
        <v>15</v>
      </c>
      <c r="J145" s="160" t="n">
        <v>16</v>
      </c>
      <c r="K145" s="161" t="n">
        <v>17960.86</v>
      </c>
      <c r="L145" s="161" t="n">
        <f aca="false">M145+N145</f>
        <v>17408.56</v>
      </c>
      <c r="M145" s="161" t="n">
        <v>14377.92</v>
      </c>
      <c r="N145" s="190" t="n">
        <v>3030.64</v>
      </c>
      <c r="O145" s="163" t="n">
        <v>8</v>
      </c>
      <c r="P145" s="161" t="n">
        <v>30446.34</v>
      </c>
      <c r="Q145" s="161" t="n">
        <f aca="false">R145+S145</f>
        <v>27296.38</v>
      </c>
      <c r="R145" s="161" t="n">
        <v>20530.3</v>
      </c>
      <c r="S145" s="190" t="n">
        <v>6766.08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192</v>
      </c>
      <c r="G146" s="164" t="s">
        <v>26</v>
      </c>
      <c r="H146" s="153" t="n">
        <v>5</v>
      </c>
      <c r="I146" s="165" t="n">
        <v>2</v>
      </c>
      <c r="J146" s="165" t="n">
        <v>2</v>
      </c>
      <c r="K146" s="166" t="n">
        <v>7400.4</v>
      </c>
      <c r="L146" s="166" t="n">
        <f aca="false">M146+N146</f>
        <v>3700.2</v>
      </c>
      <c r="M146" s="166" t="n">
        <f aca="false">3700.2</f>
        <v>3700.2</v>
      </c>
      <c r="N146" s="156"/>
      <c r="O146" s="168" t="n">
        <v>6</v>
      </c>
      <c r="P146" s="166" t="n">
        <v>5286</v>
      </c>
      <c r="Q146" s="166" t="n">
        <f aca="false">R146+S146</f>
        <v>8105.2</v>
      </c>
      <c r="R146" s="166" t="n">
        <f aca="false">6519.4</f>
        <v>6519.4</v>
      </c>
      <c r="S146" s="156" t="n">
        <f aca="false">1585.8</f>
        <v>1585.8</v>
      </c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17"/>
      <c r="B147" s="18" t="s">
        <v>103</v>
      </c>
      <c r="C147" s="19" t="s">
        <v>20</v>
      </c>
      <c r="D147" s="19"/>
      <c r="E147" s="19" t="s">
        <v>52</v>
      </c>
      <c r="F147" s="20"/>
      <c r="G147" s="146" t="s">
        <v>22</v>
      </c>
      <c r="H147" s="169" t="n">
        <v>2</v>
      </c>
      <c r="I147" s="148" t="n">
        <v>2</v>
      </c>
      <c r="J147" s="148" t="n">
        <v>3</v>
      </c>
      <c r="K147" s="149" t="n">
        <v>8028.11</v>
      </c>
      <c r="L147" s="149" t="n">
        <f aca="false">M147+N147</f>
        <v>8028.11</v>
      </c>
      <c r="M147" s="149" t="n">
        <v>8028.11</v>
      </c>
      <c r="N147" s="190"/>
      <c r="O147" s="151" t="n">
        <v>11</v>
      </c>
      <c r="P147" s="149" t="n">
        <v>78643.31</v>
      </c>
      <c r="Q147" s="149" t="n">
        <f aca="false">R147+S147</f>
        <v>70386.17</v>
      </c>
      <c r="R147" s="149" t="n">
        <v>70386.17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17"/>
      <c r="B148" s="18"/>
      <c r="C148" s="18"/>
      <c r="D148" s="18"/>
      <c r="E148" s="18"/>
      <c r="F148" s="26" t="s">
        <v>193</v>
      </c>
      <c r="G148" s="152" t="s">
        <v>26</v>
      </c>
      <c r="H148" s="171" t="n">
        <v>10</v>
      </c>
      <c r="I148" s="154" t="n">
        <v>1</v>
      </c>
      <c r="J148" s="154" t="n">
        <v>1</v>
      </c>
      <c r="K148" s="155" t="n">
        <v>704.8</v>
      </c>
      <c r="L148" s="155" t="n">
        <f aca="false">M148+N148</f>
        <v>2466.8</v>
      </c>
      <c r="M148" s="155"/>
      <c r="N148" s="156" t="n">
        <v>2466.8</v>
      </c>
      <c r="O148" s="157" t="n">
        <v>7</v>
      </c>
      <c r="P148" s="155" t="n">
        <v>10925</v>
      </c>
      <c r="Q148" s="155" t="n">
        <f aca="false">R148+S148</f>
        <v>9867.04</v>
      </c>
      <c r="R148" s="155" t="n">
        <f aca="false">2290.6+528.6</f>
        <v>2819.2</v>
      </c>
      <c r="S148" s="156" t="n">
        <v>7047.84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54"/>
      <c r="B149" s="55" t="s">
        <v>104</v>
      </c>
      <c r="C149" s="56" t="s">
        <v>20</v>
      </c>
      <c r="D149" s="56"/>
      <c r="E149" s="56" t="s">
        <v>25</v>
      </c>
      <c r="F149" s="22"/>
      <c r="G149" s="146" t="s">
        <v>22</v>
      </c>
      <c r="H149" s="169"/>
      <c r="I149" s="160"/>
      <c r="J149" s="160"/>
      <c r="K149" s="161"/>
      <c r="L149" s="161" t="n">
        <f aca="false">M149+N149</f>
        <v>0</v>
      </c>
      <c r="M149" s="161"/>
      <c r="N149" s="190"/>
      <c r="O149" s="163" t="n">
        <v>2</v>
      </c>
      <c r="P149" s="161" t="n">
        <v>20088.08</v>
      </c>
      <c r="Q149" s="161" t="n">
        <f aca="false">R149+S149</f>
        <v>20088.08</v>
      </c>
      <c r="R149" s="161" t="n">
        <v>20088.08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54"/>
      <c r="B150" s="55"/>
      <c r="C150" s="55"/>
      <c r="D150" s="55"/>
      <c r="E150" s="55"/>
      <c r="F150" s="26" t="s">
        <v>281</v>
      </c>
      <c r="G150" s="152" t="s">
        <v>26</v>
      </c>
      <c r="H150" s="153" t="n">
        <v>3</v>
      </c>
      <c r="I150" s="154"/>
      <c r="J150" s="154"/>
      <c r="K150" s="155"/>
      <c r="L150" s="155" t="n">
        <f aca="false">M150+N150</f>
        <v>0</v>
      </c>
      <c r="M150" s="155"/>
      <c r="N150" s="15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.75" hidden="false" customHeight="true" outlineLevel="0" collapsed="false">
      <c r="A151" s="33"/>
      <c r="B151" s="34" t="s">
        <v>105</v>
      </c>
      <c r="C151" s="35" t="s">
        <v>33</v>
      </c>
      <c r="D151" s="35" t="s">
        <v>106</v>
      </c>
      <c r="E151" s="35" t="s">
        <v>107</v>
      </c>
      <c r="F151" s="36"/>
      <c r="G151" s="146" t="s">
        <v>22</v>
      </c>
      <c r="H151" s="169" t="n">
        <v>7</v>
      </c>
      <c r="I151" s="160" t="n">
        <v>1</v>
      </c>
      <c r="J151" s="160" t="n">
        <v>1</v>
      </c>
      <c r="K151" s="161" t="n">
        <v>352.4</v>
      </c>
      <c r="L151" s="161" t="n">
        <f aca="false">M151+N151</f>
        <v>352.4</v>
      </c>
      <c r="M151" s="161"/>
      <c r="N151" s="190" t="n">
        <v>352.4</v>
      </c>
      <c r="O151" s="163" t="n">
        <v>10</v>
      </c>
      <c r="P151" s="161" t="n">
        <v>45624.44</v>
      </c>
      <c r="Q151" s="161" t="n">
        <f aca="false">R151+S151</f>
        <v>45624.44</v>
      </c>
      <c r="R151" s="161" t="n">
        <v>18435.62</v>
      </c>
      <c r="S151" s="190" t="n">
        <v>27188.82</v>
      </c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33"/>
      <c r="B152" s="34"/>
      <c r="C152" s="34"/>
      <c r="D152" s="34"/>
      <c r="E152" s="34"/>
      <c r="F152" s="42" t="s">
        <v>194</v>
      </c>
      <c r="G152" s="164" t="s">
        <v>26</v>
      </c>
      <c r="H152" s="153" t="n">
        <v>2</v>
      </c>
      <c r="I152" s="165"/>
      <c r="J152" s="165"/>
      <c r="K152" s="166"/>
      <c r="L152" s="161" t="n">
        <f aca="false">M152+N152</f>
        <v>0</v>
      </c>
      <c r="M152" s="166" t="n">
        <v>0</v>
      </c>
      <c r="N152" s="156"/>
      <c r="O152" s="168" t="n">
        <v>7</v>
      </c>
      <c r="P152" s="166" t="n">
        <v>23645.16</v>
      </c>
      <c r="Q152" s="166" t="n">
        <f aca="false">R152+S152</f>
        <v>16536.3</v>
      </c>
      <c r="R152" s="166" t="n">
        <f aca="false">4801.4+881</f>
        <v>5682.4</v>
      </c>
      <c r="S152" s="156" t="n">
        <v>10853.9</v>
      </c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72"/>
      <c r="B153" s="73" t="s">
        <v>108</v>
      </c>
      <c r="C153" s="74" t="s">
        <v>33</v>
      </c>
      <c r="D153" s="74" t="s">
        <v>109</v>
      </c>
      <c r="E153" s="74" t="s">
        <v>25</v>
      </c>
      <c r="F153" s="20"/>
      <c r="G153" s="146" t="s">
        <v>22</v>
      </c>
      <c r="H153" s="159" t="n">
        <v>10</v>
      </c>
      <c r="I153" s="148" t="n">
        <v>10</v>
      </c>
      <c r="J153" s="148" t="n">
        <v>11</v>
      </c>
      <c r="K153" s="149" t="n">
        <v>21703.32</v>
      </c>
      <c r="L153" s="149" t="n">
        <f aca="false">M153+N153</f>
        <v>11519.11</v>
      </c>
      <c r="M153" s="149" t="n">
        <v>11519.11</v>
      </c>
      <c r="N153" s="190"/>
      <c r="O153" s="151" t="n">
        <v>22</v>
      </c>
      <c r="P153" s="149" t="n">
        <v>54823.91</v>
      </c>
      <c r="Q153" s="149" t="n">
        <f aca="false">R153+S153</f>
        <v>37928.86</v>
      </c>
      <c r="R153" s="149" t="n">
        <v>37928.86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72"/>
      <c r="B154" s="73"/>
      <c r="C154" s="73"/>
      <c r="D154" s="73"/>
      <c r="E154" s="73"/>
      <c r="F154" s="42" t="s">
        <v>195</v>
      </c>
      <c r="G154" s="164" t="s">
        <v>26</v>
      </c>
      <c r="H154" s="171" t="n">
        <v>9</v>
      </c>
      <c r="I154" s="165" t="n">
        <v>7</v>
      </c>
      <c r="J154" s="165" t="n">
        <v>7</v>
      </c>
      <c r="K154" s="166" t="n">
        <v>25240.98</v>
      </c>
      <c r="L154" s="166" t="n">
        <f aca="false">M154+N154</f>
        <v>14448.4</v>
      </c>
      <c r="M154" s="166" t="n">
        <f aca="false">6942.28</f>
        <v>6942.28</v>
      </c>
      <c r="N154" s="156" t="n">
        <f aca="false">7506.12</f>
        <v>7506.12</v>
      </c>
      <c r="O154" s="157" t="n">
        <v>12</v>
      </c>
      <c r="P154" s="155" t="n">
        <v>30218.3</v>
      </c>
      <c r="Q154" s="155" t="n">
        <f aca="false">R154+S154</f>
        <v>38112.06</v>
      </c>
      <c r="R154" s="155" t="n">
        <f aca="false">15329.4+14888.9</f>
        <v>30218.3</v>
      </c>
      <c r="S154" s="156" t="n">
        <v>7893.76</v>
      </c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110</v>
      </c>
      <c r="C155" s="19" t="s">
        <v>33</v>
      </c>
      <c r="D155" s="19" t="s">
        <v>111</v>
      </c>
      <c r="E155" s="19" t="s">
        <v>25</v>
      </c>
      <c r="F155" s="20"/>
      <c r="G155" s="146" t="s">
        <v>22</v>
      </c>
      <c r="H155" s="159" t="n">
        <v>24</v>
      </c>
      <c r="I155" s="148" t="n">
        <v>21</v>
      </c>
      <c r="J155" s="193" t="n">
        <v>23</v>
      </c>
      <c r="K155" s="149" t="n">
        <v>22909.26</v>
      </c>
      <c r="L155" s="149" t="n">
        <f aca="false">M155+N155</f>
        <v>19498.3</v>
      </c>
      <c r="M155" s="149" t="n">
        <v>16881.73</v>
      </c>
      <c r="N155" s="190" t="n">
        <v>2616.57</v>
      </c>
      <c r="O155" s="163" t="n">
        <v>16</v>
      </c>
      <c r="P155" s="161" t="n">
        <v>59949.34</v>
      </c>
      <c r="Q155" s="161" t="n">
        <f aca="false">R155+S155</f>
        <v>50536.47</v>
      </c>
      <c r="R155" s="161" t="n">
        <v>44245.85</v>
      </c>
      <c r="S155" s="190" t="n">
        <v>6290.62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42" t="s">
        <v>196</v>
      </c>
      <c r="G156" s="164" t="s">
        <v>26</v>
      </c>
      <c r="H156" s="175" t="n">
        <v>4</v>
      </c>
      <c r="I156" s="165" t="n">
        <v>4</v>
      </c>
      <c r="J156" s="165" t="n">
        <v>3</v>
      </c>
      <c r="K156" s="166" t="n">
        <v>10296.2</v>
      </c>
      <c r="L156" s="166" t="n">
        <f aca="false">M156+N156</f>
        <v>0</v>
      </c>
      <c r="M156" s="166"/>
      <c r="N156" s="167"/>
      <c r="O156" s="168" t="n">
        <v>1</v>
      </c>
      <c r="P156" s="166"/>
      <c r="Q156" s="166" t="n">
        <f aca="false">R156+S156</f>
        <v>0</v>
      </c>
      <c r="R156" s="166"/>
      <c r="S156" s="167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17"/>
      <c r="B157" s="240" t="s">
        <v>282</v>
      </c>
      <c r="C157" s="19" t="s">
        <v>33</v>
      </c>
      <c r="D157" s="19" t="s">
        <v>283</v>
      </c>
      <c r="E157" s="19" t="s">
        <v>284</v>
      </c>
      <c r="F157" s="20"/>
      <c r="G157" s="146" t="s">
        <v>22</v>
      </c>
      <c r="H157" s="173"/>
      <c r="I157" s="148"/>
      <c r="J157" s="148"/>
      <c r="K157" s="241"/>
      <c r="L157" s="241" t="n">
        <f aca="false">M157+N157</f>
        <v>0</v>
      </c>
      <c r="M157" s="241"/>
      <c r="N157" s="150"/>
      <c r="O157" s="206"/>
      <c r="P157" s="149"/>
      <c r="Q157" s="149" t="n">
        <f aca="false">R157+S157</f>
        <v>0</v>
      </c>
      <c r="R157" s="149"/>
      <c r="S157" s="15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240"/>
      <c r="C158" s="19"/>
      <c r="D158" s="19"/>
      <c r="E158" s="19"/>
      <c r="F158" s="26" t="s">
        <v>285</v>
      </c>
      <c r="G158" s="152" t="s">
        <v>23</v>
      </c>
      <c r="H158" s="174" t="n">
        <v>6</v>
      </c>
      <c r="I158" s="154"/>
      <c r="J158" s="154"/>
      <c r="K158" s="242"/>
      <c r="L158" s="242" t="n">
        <f aca="false">M158+N158</f>
        <v>0</v>
      </c>
      <c r="M158" s="242"/>
      <c r="N158" s="156"/>
      <c r="O158" s="209"/>
      <c r="P158" s="155"/>
      <c r="Q158" s="155" t="n">
        <f aca="false">R158+S158</f>
        <v>0</v>
      </c>
      <c r="R158" s="155"/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33"/>
      <c r="B159" s="34" t="s">
        <v>112</v>
      </c>
      <c r="C159" s="35" t="s">
        <v>20</v>
      </c>
      <c r="D159" s="35" t="s">
        <v>197</v>
      </c>
      <c r="E159" s="35" t="s">
        <v>25</v>
      </c>
      <c r="F159" s="36"/>
      <c r="G159" s="158" t="s">
        <v>22</v>
      </c>
      <c r="H159" s="159" t="n">
        <v>18</v>
      </c>
      <c r="I159" s="160" t="n">
        <v>18</v>
      </c>
      <c r="J159" s="160" t="n">
        <v>25</v>
      </c>
      <c r="K159" s="140" t="n">
        <v>67072.06</v>
      </c>
      <c r="L159" s="140" t="n">
        <f aca="false">M159+N159</f>
        <v>56817.22</v>
      </c>
      <c r="M159" s="140" t="n">
        <v>23292.74</v>
      </c>
      <c r="N159" s="190" t="n">
        <v>33524.48</v>
      </c>
      <c r="O159" s="163" t="n">
        <v>6</v>
      </c>
      <c r="P159" s="161" t="n">
        <v>25423.03</v>
      </c>
      <c r="Q159" s="161" t="n">
        <f aca="false">R159+S159</f>
        <v>25423.03</v>
      </c>
      <c r="R159" s="161" t="n">
        <v>20244.62</v>
      </c>
      <c r="S159" s="190" t="n">
        <v>5178.41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33"/>
      <c r="B160" s="34"/>
      <c r="C160" s="34"/>
      <c r="D160" s="34"/>
      <c r="E160" s="34"/>
      <c r="F160" s="26" t="s">
        <v>198</v>
      </c>
      <c r="G160" s="152" t="s">
        <v>26</v>
      </c>
      <c r="H160" s="171" t="n">
        <v>3</v>
      </c>
      <c r="I160" s="165"/>
      <c r="J160" s="165" t="n">
        <v>1</v>
      </c>
      <c r="K160" s="166" t="n">
        <v>1762</v>
      </c>
      <c r="L160" s="166" t="n">
        <f aca="false">M160+N160</f>
        <v>1321.5</v>
      </c>
      <c r="M160" s="166"/>
      <c r="N160" s="156" t="n">
        <v>1321.5</v>
      </c>
      <c r="O160" s="168" t="n">
        <v>2</v>
      </c>
      <c r="P160" s="166" t="n">
        <v>2114.4</v>
      </c>
      <c r="Q160" s="166" t="n">
        <f aca="false">R160+S160</f>
        <v>2114.4</v>
      </c>
      <c r="R160" s="166" t="n">
        <f aca="false">2114.4</f>
        <v>2114.4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true" outlineLevel="0" collapsed="false">
      <c r="A161" s="17"/>
      <c r="B161" s="18" t="s">
        <v>113</v>
      </c>
      <c r="C161" s="19" t="s">
        <v>20</v>
      </c>
      <c r="D161" s="19"/>
      <c r="E161" s="19" t="s">
        <v>31</v>
      </c>
      <c r="F161" s="36"/>
      <c r="G161" s="146" t="s">
        <v>22</v>
      </c>
      <c r="H161" s="159" t="n">
        <v>15</v>
      </c>
      <c r="I161" s="148" t="n">
        <v>9</v>
      </c>
      <c r="J161" s="148" t="n">
        <v>12</v>
      </c>
      <c r="K161" s="149" t="n">
        <v>25824.49</v>
      </c>
      <c r="L161" s="149" t="n">
        <f aca="false">M161+N161</f>
        <v>25824.49</v>
      </c>
      <c r="M161" s="149" t="n">
        <v>12303.8</v>
      </c>
      <c r="N161" s="190" t="n">
        <v>13520.69</v>
      </c>
      <c r="O161" s="151" t="n">
        <v>8</v>
      </c>
      <c r="P161" s="149" t="n">
        <v>18834.43</v>
      </c>
      <c r="Q161" s="149" t="n">
        <f aca="false">R161+S161</f>
        <v>18834.43</v>
      </c>
      <c r="R161" s="149" t="n">
        <v>9035.03</v>
      </c>
      <c r="S161" s="190" t="n">
        <v>9799.4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57"/>
      <c r="G162" s="152" t="s">
        <v>26</v>
      </c>
      <c r="H162" s="153"/>
      <c r="I162" s="154"/>
      <c r="J162" s="154"/>
      <c r="K162" s="155"/>
      <c r="L162" s="155" t="n">
        <f aca="false">M162+N162</f>
        <v>0</v>
      </c>
      <c r="M162" s="155"/>
      <c r="N162" s="156"/>
      <c r="O162" s="157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true" outlineLevel="0" collapsed="false">
      <c r="A163" s="33"/>
      <c r="B163" s="34" t="s">
        <v>114</v>
      </c>
      <c r="C163" s="35" t="s">
        <v>20</v>
      </c>
      <c r="D163" s="95"/>
      <c r="E163" s="35" t="s">
        <v>25</v>
      </c>
      <c r="F163" s="71"/>
      <c r="G163" s="146" t="s">
        <v>22</v>
      </c>
      <c r="H163" s="169" t="n">
        <v>2</v>
      </c>
      <c r="I163" s="160"/>
      <c r="J163" s="160"/>
      <c r="K163" s="161"/>
      <c r="L163" s="161" t="n">
        <f aca="false">M163+N163</f>
        <v>0</v>
      </c>
      <c r="M163" s="161"/>
      <c r="N163" s="190"/>
      <c r="O163" s="163" t="n">
        <v>3</v>
      </c>
      <c r="P163" s="161" t="n">
        <v>4574.09</v>
      </c>
      <c r="Q163" s="161" t="n">
        <f aca="false">R163+S163</f>
        <v>0</v>
      </c>
      <c r="R163" s="161"/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42" t="s">
        <v>274</v>
      </c>
      <c r="G164" s="164" t="s">
        <v>26</v>
      </c>
      <c r="H164" s="175" t="n">
        <v>4</v>
      </c>
      <c r="I164" s="165" t="n">
        <v>3</v>
      </c>
      <c r="J164" s="165" t="n">
        <v>3</v>
      </c>
      <c r="K164" s="166" t="n">
        <v>4075.22</v>
      </c>
      <c r="L164" s="166" t="n">
        <f aca="false">M164+N164</f>
        <v>1127.68</v>
      </c>
      <c r="M164" s="166"/>
      <c r="N164" s="156" t="n">
        <f aca="false">1127.68</f>
        <v>1127.68</v>
      </c>
      <c r="O164" s="168"/>
      <c r="P164" s="166"/>
      <c r="Q164" s="166" t="n">
        <f aca="false">R164+S164</f>
        <v>0</v>
      </c>
      <c r="R164" s="166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17"/>
      <c r="B165" s="18" t="s">
        <v>243</v>
      </c>
      <c r="C165" s="219"/>
      <c r="D165" s="19"/>
      <c r="E165" s="19"/>
      <c r="F165" s="20"/>
      <c r="G165" s="146" t="s">
        <v>22</v>
      </c>
      <c r="H165" s="173" t="n">
        <v>4</v>
      </c>
      <c r="I165" s="148" t="n">
        <v>3</v>
      </c>
      <c r="J165" s="148" t="n">
        <v>3</v>
      </c>
      <c r="K165" s="149" t="n">
        <v>4326.59</v>
      </c>
      <c r="L165" s="149" t="n">
        <f aca="false">M165+N165</f>
        <v>4062.29</v>
      </c>
      <c r="M165" s="149"/>
      <c r="N165" s="190" t="n">
        <v>4062.29</v>
      </c>
      <c r="O165" s="206"/>
      <c r="P165" s="149"/>
      <c r="Q165" s="149" t="n">
        <f aca="false">R165+S165</f>
        <v>0</v>
      </c>
      <c r="R165" s="149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26" t="s">
        <v>275</v>
      </c>
      <c r="G166" s="152" t="s">
        <v>26</v>
      </c>
      <c r="H166" s="174" t="n">
        <v>5</v>
      </c>
      <c r="I166" s="154" t="n">
        <v>2</v>
      </c>
      <c r="J166" s="154" t="n">
        <v>2</v>
      </c>
      <c r="K166" s="155" t="n">
        <v>2114.4</v>
      </c>
      <c r="L166" s="155" t="n">
        <f aca="false">M166+N166</f>
        <v>3476.14</v>
      </c>
      <c r="M166" s="155" t="n">
        <f aca="false">3476.14</f>
        <v>3476.14</v>
      </c>
      <c r="N166" s="156"/>
      <c r="O166" s="209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54"/>
      <c r="B167" s="55" t="s">
        <v>200</v>
      </c>
      <c r="C167" s="220"/>
      <c r="D167" s="56"/>
      <c r="E167" s="56"/>
      <c r="F167" s="36"/>
      <c r="G167" s="158" t="s">
        <v>22</v>
      </c>
      <c r="H167" s="159" t="n">
        <v>25</v>
      </c>
      <c r="I167" s="160" t="n">
        <v>23</v>
      </c>
      <c r="J167" s="160" t="n">
        <v>25</v>
      </c>
      <c r="K167" s="161" t="n">
        <v>34525.76</v>
      </c>
      <c r="L167" s="161" t="n">
        <f aca="false">M167+N167</f>
        <v>22458.11</v>
      </c>
      <c r="M167" s="161" t="n">
        <v>14018.13</v>
      </c>
      <c r="N167" s="190" t="n">
        <v>8439.98</v>
      </c>
      <c r="O167" s="163"/>
      <c r="P167" s="161"/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54"/>
      <c r="B168" s="55"/>
      <c r="C168" s="55"/>
      <c r="D168" s="55"/>
      <c r="E168" s="55"/>
      <c r="F168" s="57"/>
      <c r="G168" s="152" t="s">
        <v>26</v>
      </c>
      <c r="H168" s="174" t="n">
        <v>4</v>
      </c>
      <c r="I168" s="154" t="n">
        <v>4</v>
      </c>
      <c r="J168" s="154" t="n">
        <v>4</v>
      </c>
      <c r="K168" s="155" t="n">
        <v>6046.1</v>
      </c>
      <c r="L168" s="155" t="n">
        <f aca="false">M168+N168</f>
        <v>7224.2</v>
      </c>
      <c r="M168" s="155" t="n">
        <f aca="false">4757.4</f>
        <v>4757.4</v>
      </c>
      <c r="N168" s="156" t="n">
        <f aca="false">2466.8</f>
        <v>2466.8</v>
      </c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54"/>
      <c r="B169" s="55" t="s">
        <v>115</v>
      </c>
      <c r="C169" s="56" t="s">
        <v>20</v>
      </c>
      <c r="D169" s="56"/>
      <c r="E169" s="56" t="s">
        <v>116</v>
      </c>
      <c r="F169" s="36"/>
      <c r="G169" s="158" t="s">
        <v>22</v>
      </c>
      <c r="H169" s="159" t="n">
        <v>16</v>
      </c>
      <c r="I169" s="160" t="n">
        <v>15</v>
      </c>
      <c r="J169" s="160" t="n">
        <v>17</v>
      </c>
      <c r="K169" s="161" t="n">
        <v>15676.78</v>
      </c>
      <c r="L169" s="161" t="n">
        <f aca="false">M169+N169</f>
        <v>9503.97</v>
      </c>
      <c r="M169" s="161" t="n">
        <v>6070.98</v>
      </c>
      <c r="N169" s="190" t="n">
        <v>3432.99</v>
      </c>
      <c r="O169" s="163" t="n">
        <v>17</v>
      </c>
      <c r="P169" s="161" t="n">
        <v>40160.31</v>
      </c>
      <c r="Q169" s="161" t="n">
        <f aca="false">R169+S169</f>
        <v>38497.86</v>
      </c>
      <c r="R169" s="161" t="n">
        <v>22208.41</v>
      </c>
      <c r="S169" s="190" t="n">
        <v>16289.45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54"/>
      <c r="B170" s="55"/>
      <c r="C170" s="55"/>
      <c r="D170" s="55"/>
      <c r="E170" s="55"/>
      <c r="F170" s="42" t="s">
        <v>201</v>
      </c>
      <c r="G170" s="164" t="s">
        <v>26</v>
      </c>
      <c r="H170" s="172" t="n">
        <v>9</v>
      </c>
      <c r="I170" s="165" t="n">
        <v>4</v>
      </c>
      <c r="J170" s="165" t="n">
        <v>4</v>
      </c>
      <c r="K170" s="166" t="n">
        <v>8915.72</v>
      </c>
      <c r="L170" s="161" t="n">
        <f aca="false">M170+N170</f>
        <v>1585.8</v>
      </c>
      <c r="M170" s="166" t="n">
        <v>1585.8</v>
      </c>
      <c r="N170" s="156"/>
      <c r="O170" s="168" t="n">
        <v>8</v>
      </c>
      <c r="P170" s="166" t="n">
        <v>881</v>
      </c>
      <c r="Q170" s="166" t="n">
        <f aca="false">R170+S170</f>
        <v>5286</v>
      </c>
      <c r="R170" s="166" t="n">
        <f aca="false">881+2114.4+2290.6</f>
        <v>5286</v>
      </c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" hidden="false" customHeight="true" outlineLevel="0" collapsed="false">
      <c r="A171" s="17"/>
      <c r="B171" s="18" t="s">
        <v>157</v>
      </c>
      <c r="C171" s="19"/>
      <c r="D171" s="19"/>
      <c r="E171" s="127"/>
      <c r="F171" s="22"/>
      <c r="G171" s="146" t="s">
        <v>22</v>
      </c>
      <c r="H171" s="147" t="n">
        <v>10</v>
      </c>
      <c r="I171" s="148" t="n">
        <v>5</v>
      </c>
      <c r="J171" s="148" t="n">
        <v>6</v>
      </c>
      <c r="K171" s="149" t="n">
        <v>11119.33</v>
      </c>
      <c r="L171" s="149" t="n">
        <f aca="false">M171+N171</f>
        <v>9520.31</v>
      </c>
      <c r="M171" s="149" t="n">
        <v>3876.4</v>
      </c>
      <c r="N171" s="190" t="n">
        <v>5643.91</v>
      </c>
      <c r="O171" s="151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" hidden="false" customHeight="false" outlineLevel="0" collapsed="false">
      <c r="A172" s="17"/>
      <c r="B172" s="18"/>
      <c r="C172" s="18"/>
      <c r="D172" s="18"/>
      <c r="E172" s="127"/>
      <c r="F172" s="26" t="s">
        <v>202</v>
      </c>
      <c r="G172" s="152" t="s">
        <v>26</v>
      </c>
      <c r="H172" s="176" t="n">
        <v>2</v>
      </c>
      <c r="I172" s="154"/>
      <c r="J172" s="154"/>
      <c r="K172" s="155"/>
      <c r="L172" s="155" t="n">
        <f aca="false">M172+N172</f>
        <v>0</v>
      </c>
      <c r="M172" s="155"/>
      <c r="N172" s="156"/>
      <c r="O172" s="157" t="n">
        <v>2</v>
      </c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true" outlineLevel="0" collapsed="false">
      <c r="A173" s="33"/>
      <c r="B173" s="34" t="s">
        <v>117</v>
      </c>
      <c r="C173" s="35" t="s">
        <v>33</v>
      </c>
      <c r="D173" s="35" t="s">
        <v>118</v>
      </c>
      <c r="E173" s="74" t="s">
        <v>25</v>
      </c>
      <c r="F173" s="89"/>
      <c r="G173" s="158" t="s">
        <v>22</v>
      </c>
      <c r="H173" s="169"/>
      <c r="I173" s="160"/>
      <c r="J173" s="160"/>
      <c r="K173" s="161"/>
      <c r="L173" s="161" t="n">
        <f aca="false">M173+N173</f>
        <v>0</v>
      </c>
      <c r="M173" s="161"/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false" outlineLevel="0" collapsed="false">
      <c r="A174" s="33"/>
      <c r="B174" s="34"/>
      <c r="C174" s="34"/>
      <c r="D174" s="34"/>
      <c r="E174" s="34"/>
      <c r="F174" s="42"/>
      <c r="G174" s="158" t="s">
        <v>23</v>
      </c>
      <c r="H174" s="169"/>
      <c r="I174" s="160"/>
      <c r="J174" s="160"/>
      <c r="K174" s="161"/>
      <c r="L174" s="161" t="n">
        <f aca="false">M174+N174</f>
        <v>0</v>
      </c>
      <c r="M174" s="161"/>
      <c r="N174" s="167"/>
      <c r="O174" s="163" t="n">
        <v>2</v>
      </c>
      <c r="P174" s="161" t="n">
        <v>1762</v>
      </c>
      <c r="Q174" s="161" t="n">
        <v>1762</v>
      </c>
      <c r="R174" s="161" t="n">
        <v>1762</v>
      </c>
      <c r="S174" s="167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false" outlineLevel="0" collapsed="false">
      <c r="A175" s="33"/>
      <c r="B175" s="34"/>
      <c r="C175" s="34"/>
      <c r="D175" s="34"/>
      <c r="E175" s="34"/>
      <c r="F175" s="42"/>
      <c r="G175" s="164" t="s">
        <v>26</v>
      </c>
      <c r="H175" s="153"/>
      <c r="I175" s="165"/>
      <c r="J175" s="165"/>
      <c r="K175" s="166"/>
      <c r="L175" s="166" t="n">
        <f aca="false">M175+N175</f>
        <v>0</v>
      </c>
      <c r="M175" s="166"/>
      <c r="N175" s="156"/>
      <c r="O175" s="168" t="n">
        <v>7</v>
      </c>
      <c r="P175" s="166" t="n">
        <v>4845.5</v>
      </c>
      <c r="Q175" s="166" t="n">
        <f aca="false">R175+S175</f>
        <v>5902.7</v>
      </c>
      <c r="R175" s="166" t="n">
        <f aca="false">1762+1278.41</f>
        <v>3040.41</v>
      </c>
      <c r="S175" s="156" t="n">
        <v>2862.29</v>
      </c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true" outlineLevel="0" collapsed="false">
      <c r="A176" s="17"/>
      <c r="B176" s="18" t="s">
        <v>119</v>
      </c>
      <c r="C176" s="19" t="s">
        <v>20</v>
      </c>
      <c r="D176" s="19"/>
      <c r="E176" s="19" t="s">
        <v>25</v>
      </c>
      <c r="F176" s="20"/>
      <c r="G176" s="146" t="s">
        <v>22</v>
      </c>
      <c r="H176" s="169"/>
      <c r="I176" s="148"/>
      <c r="J176" s="148"/>
      <c r="K176" s="149"/>
      <c r="L176" s="149" t="n">
        <f aca="false">M176+N176</f>
        <v>0</v>
      </c>
      <c r="M176" s="149"/>
      <c r="N176" s="190"/>
      <c r="O176" s="151" t="n">
        <v>2</v>
      </c>
      <c r="P176" s="149" t="n">
        <v>2643</v>
      </c>
      <c r="Q176" s="149" t="n">
        <f aca="false">R176+S176</f>
        <v>2643</v>
      </c>
      <c r="R176" s="149" t="n">
        <v>2643</v>
      </c>
      <c r="S176" s="19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17"/>
      <c r="B177" s="18"/>
      <c r="C177" s="18"/>
      <c r="D177" s="18"/>
      <c r="E177" s="18"/>
      <c r="F177" s="42" t="s">
        <v>203</v>
      </c>
      <c r="G177" s="164" t="s">
        <v>26</v>
      </c>
      <c r="H177" s="175" t="n">
        <v>4</v>
      </c>
      <c r="I177" s="165" t="n">
        <v>2</v>
      </c>
      <c r="J177" s="165" t="n">
        <v>2</v>
      </c>
      <c r="K177" s="166" t="n">
        <v>1233.4</v>
      </c>
      <c r="L177" s="166" t="n">
        <f aca="false">M177+N177</f>
        <v>1812.59</v>
      </c>
      <c r="M177" s="166" t="n">
        <f aca="false">704.8</f>
        <v>704.8</v>
      </c>
      <c r="N177" s="156" t="n">
        <f aca="false">1107.79</f>
        <v>1107.79</v>
      </c>
      <c r="O177" s="168" t="n">
        <v>3</v>
      </c>
      <c r="P177" s="166" t="n">
        <v>7576.6</v>
      </c>
      <c r="Q177" s="166" t="n">
        <f aca="false">R177+S177</f>
        <v>11226.21</v>
      </c>
      <c r="R177" s="166" t="n">
        <f aca="false">7349.81+50.59</f>
        <v>7400.4</v>
      </c>
      <c r="S177" s="156" t="n">
        <v>3825.81</v>
      </c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17"/>
      <c r="B178" s="18" t="s">
        <v>225</v>
      </c>
      <c r="C178" s="19"/>
      <c r="D178" s="19"/>
      <c r="E178" s="19"/>
      <c r="F178" s="20"/>
      <c r="G178" s="146" t="s">
        <v>22</v>
      </c>
      <c r="H178" s="147"/>
      <c r="I178" s="148"/>
      <c r="J178" s="148"/>
      <c r="K178" s="149"/>
      <c r="L178" s="149" t="n">
        <f aca="false">M178+N178</f>
        <v>0</v>
      </c>
      <c r="M178" s="149"/>
      <c r="N178" s="190"/>
      <c r="O178" s="151"/>
      <c r="P178" s="149"/>
      <c r="Q178" s="149" t="n">
        <f aca="false">R178+S178</f>
        <v>0</v>
      </c>
      <c r="R178" s="149"/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17"/>
      <c r="B179" s="18"/>
      <c r="C179" s="18"/>
      <c r="D179" s="18"/>
      <c r="E179" s="18"/>
      <c r="F179" s="26" t="s">
        <v>244</v>
      </c>
      <c r="G179" s="152" t="s">
        <v>23</v>
      </c>
      <c r="H179" s="176" t="n">
        <v>16</v>
      </c>
      <c r="I179" s="154" t="n">
        <v>11</v>
      </c>
      <c r="J179" s="154" t="n">
        <v>11</v>
      </c>
      <c r="K179" s="155" t="n">
        <v>15020.8</v>
      </c>
      <c r="L179" s="155" t="n">
        <v>2863</v>
      </c>
      <c r="M179" s="155" t="n">
        <v>2863</v>
      </c>
      <c r="N179" s="156"/>
      <c r="O179" s="157"/>
      <c r="P179" s="155"/>
      <c r="Q179" s="155" t="n">
        <f aca="false">R179+S179</f>
        <v>0</v>
      </c>
      <c r="R179" s="155"/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54"/>
      <c r="B180" s="55" t="s">
        <v>120</v>
      </c>
      <c r="C180" s="56" t="s">
        <v>20</v>
      </c>
      <c r="D180" s="56"/>
      <c r="E180" s="56" t="s">
        <v>25</v>
      </c>
      <c r="F180" s="36"/>
      <c r="G180" s="158" t="s">
        <v>22</v>
      </c>
      <c r="H180" s="169"/>
      <c r="I180" s="160"/>
      <c r="J180" s="160"/>
      <c r="K180" s="161"/>
      <c r="L180" s="161" t="n">
        <f aca="false">M180+N180</f>
        <v>0</v>
      </c>
      <c r="M180" s="161"/>
      <c r="N180" s="190"/>
      <c r="O180" s="163" t="n">
        <v>3</v>
      </c>
      <c r="P180" s="161" t="n">
        <v>3063.78</v>
      </c>
      <c r="Q180" s="161" t="n">
        <f aca="false">R180+S180</f>
        <v>3063.78</v>
      </c>
      <c r="R180" s="161" t="n">
        <v>3063.78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54"/>
      <c r="B181" s="55"/>
      <c r="C181" s="55"/>
      <c r="D181" s="55"/>
      <c r="E181" s="55"/>
      <c r="F181" s="71"/>
      <c r="G181" s="164" t="s">
        <v>26</v>
      </c>
      <c r="H181" s="175"/>
      <c r="I181" s="165"/>
      <c r="J181" s="165"/>
      <c r="K181" s="166"/>
      <c r="L181" s="166" t="n">
        <f aca="false">M181+N181</f>
        <v>0</v>
      </c>
      <c r="M181" s="166"/>
      <c r="N181" s="156"/>
      <c r="O181" s="168"/>
      <c r="P181" s="166"/>
      <c r="Q181" s="166" t="n">
        <f aca="false">R181+S181</f>
        <v>0</v>
      </c>
      <c r="R181" s="166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72"/>
      <c r="B182" s="18" t="s">
        <v>158</v>
      </c>
      <c r="C182" s="74"/>
      <c r="D182" s="56" t="s">
        <v>204</v>
      </c>
      <c r="E182" s="74"/>
      <c r="F182" s="53"/>
      <c r="G182" s="146" t="s">
        <v>22</v>
      </c>
      <c r="H182" s="195"/>
      <c r="I182" s="196"/>
      <c r="J182" s="196"/>
      <c r="K182" s="197"/>
      <c r="L182" s="197" t="n">
        <f aca="false">M182+N182</f>
        <v>0</v>
      </c>
      <c r="M182" s="197"/>
      <c r="N182" s="190"/>
      <c r="O182" s="199"/>
      <c r="P182" s="197"/>
      <c r="Q182" s="197" t="n">
        <f aca="false">R182+S182</f>
        <v>0</v>
      </c>
      <c r="R182" s="197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54"/>
      <c r="B183" s="18"/>
      <c r="C183" s="56"/>
      <c r="D183" s="56"/>
      <c r="E183" s="56"/>
      <c r="F183" s="138" t="s">
        <v>205</v>
      </c>
      <c r="G183" s="152" t="s">
        <v>26</v>
      </c>
      <c r="H183" s="153" t="n">
        <v>4</v>
      </c>
      <c r="I183" s="200" t="n">
        <v>2</v>
      </c>
      <c r="J183" s="200" t="n">
        <v>2</v>
      </c>
      <c r="K183" s="201" t="n">
        <v>3524</v>
      </c>
      <c r="L183" s="201" t="n">
        <f aca="false">M183+N183</f>
        <v>0</v>
      </c>
      <c r="M183" s="201"/>
      <c r="N183" s="156"/>
      <c r="O183" s="203"/>
      <c r="P183" s="201"/>
      <c r="Q183" s="201" t="n">
        <f aca="false">R183+S183</f>
        <v>0</v>
      </c>
      <c r="R183" s="201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33"/>
      <c r="B184" s="34" t="s">
        <v>152</v>
      </c>
      <c r="C184" s="35" t="s">
        <v>20</v>
      </c>
      <c r="D184" s="35"/>
      <c r="E184" s="35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4</v>
      </c>
      <c r="P184" s="161" t="n">
        <v>7400.4</v>
      </c>
      <c r="Q184" s="161" t="n">
        <f aca="false">R184+S184</f>
        <v>7400.4</v>
      </c>
      <c r="R184" s="161" t="n">
        <v>7400.4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33"/>
      <c r="B185" s="34"/>
      <c r="C185" s="34"/>
      <c r="D185" s="34"/>
      <c r="E185" s="34"/>
      <c r="F185" s="42" t="s">
        <v>206</v>
      </c>
      <c r="G185" s="164" t="s">
        <v>26</v>
      </c>
      <c r="H185" s="171" t="n">
        <v>4</v>
      </c>
      <c r="I185" s="165"/>
      <c r="J185" s="165" t="n">
        <v>1</v>
      </c>
      <c r="K185" s="166" t="n">
        <v>704.8</v>
      </c>
      <c r="L185" s="166" t="n">
        <v>0</v>
      </c>
      <c r="M185" s="166" t="n">
        <v>0</v>
      </c>
      <c r="N185" s="156" t="n">
        <f aca="false">4228.8</f>
        <v>4228.8</v>
      </c>
      <c r="O185" s="168" t="n">
        <v>7</v>
      </c>
      <c r="P185" s="166" t="n">
        <v>7048</v>
      </c>
      <c r="Q185" s="161" t="n">
        <f aca="false">R185+S185</f>
        <v>12950.7</v>
      </c>
      <c r="R185" s="166" t="n">
        <f aca="false">2731.1+4228.8</f>
        <v>6959.9</v>
      </c>
      <c r="S185" s="156" t="n">
        <f aca="false">5990.8</f>
        <v>5990.8</v>
      </c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17"/>
      <c r="B186" s="18" t="s">
        <v>122</v>
      </c>
      <c r="C186" s="19" t="s">
        <v>20</v>
      </c>
      <c r="D186" s="19"/>
      <c r="E186" s="19" t="s">
        <v>116</v>
      </c>
      <c r="F186" s="20"/>
      <c r="G186" s="146" t="s">
        <v>22</v>
      </c>
      <c r="H186" s="159" t="n">
        <v>32</v>
      </c>
      <c r="I186" s="148" t="n">
        <v>29</v>
      </c>
      <c r="J186" s="148" t="n">
        <v>40</v>
      </c>
      <c r="K186" s="149" t="n">
        <v>64246.65</v>
      </c>
      <c r="L186" s="149" t="n">
        <f aca="false">M186+N186</f>
        <v>63069.56</v>
      </c>
      <c r="M186" s="149" t="n">
        <v>32759.12</v>
      </c>
      <c r="N186" s="190" t="n">
        <v>30310.44</v>
      </c>
      <c r="O186" s="151" t="n">
        <v>31</v>
      </c>
      <c r="P186" s="149" t="n">
        <v>112720.04</v>
      </c>
      <c r="Q186" s="149" t="n">
        <f aca="false">R186+S186</f>
        <v>112720.04</v>
      </c>
      <c r="R186" s="149" t="n">
        <v>61568.09</v>
      </c>
      <c r="S186" s="190" t="n">
        <v>51151.95</v>
      </c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17"/>
      <c r="B187" s="18"/>
      <c r="C187" s="18"/>
      <c r="D187" s="18"/>
      <c r="E187" s="18"/>
      <c r="F187" s="57"/>
      <c r="G187" s="152" t="s">
        <v>26</v>
      </c>
      <c r="H187" s="153"/>
      <c r="I187" s="154"/>
      <c r="J187" s="154"/>
      <c r="K187" s="155"/>
      <c r="L187" s="155" t="n">
        <f aca="false">M187+N187</f>
        <v>0</v>
      </c>
      <c r="M187" s="155"/>
      <c r="N187" s="156"/>
      <c r="O187" s="157"/>
      <c r="P187" s="155"/>
      <c r="Q187" s="155" t="n">
        <f aca="false">R187+S187</f>
        <v>0</v>
      </c>
      <c r="R187" s="155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.75" hidden="false" customHeight="true" outlineLevel="0" collapsed="false">
      <c r="A188" s="33"/>
      <c r="B188" s="34" t="s">
        <v>123</v>
      </c>
      <c r="C188" s="35" t="s">
        <v>20</v>
      </c>
      <c r="D188" s="35"/>
      <c r="E188" s="35" t="s">
        <v>25</v>
      </c>
      <c r="F188" s="36"/>
      <c r="G188" s="146" t="s">
        <v>22</v>
      </c>
      <c r="H188" s="159" t="n">
        <v>6</v>
      </c>
      <c r="I188" s="160" t="n">
        <v>4</v>
      </c>
      <c r="J188" s="160" t="n">
        <v>4</v>
      </c>
      <c r="K188" s="161" t="n">
        <v>4193.56</v>
      </c>
      <c r="L188" s="161" t="n">
        <f aca="false">M188+N188</f>
        <v>4193.56</v>
      </c>
      <c r="M188" s="161" t="n">
        <v>2255.36</v>
      </c>
      <c r="N188" s="190" t="n">
        <v>1938.2</v>
      </c>
      <c r="O188" s="163" t="n">
        <v>6</v>
      </c>
      <c r="P188" s="161" t="n">
        <v>10868.41</v>
      </c>
      <c r="Q188" s="161" t="n">
        <f aca="false">R188+S188</f>
        <v>10868.41</v>
      </c>
      <c r="R188" s="161" t="n">
        <v>10868.41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207</v>
      </c>
      <c r="G189" s="164" t="s">
        <v>26</v>
      </c>
      <c r="H189" s="153" t="n">
        <v>4</v>
      </c>
      <c r="I189" s="165" t="n">
        <v>1</v>
      </c>
      <c r="J189" s="165" t="n">
        <v>1</v>
      </c>
      <c r="K189" s="166" t="n">
        <v>920.5</v>
      </c>
      <c r="L189" s="161" t="n">
        <f aca="false">M189+N189</f>
        <v>0</v>
      </c>
      <c r="M189" s="166" t="n">
        <v>0</v>
      </c>
      <c r="N189" s="156"/>
      <c r="O189" s="168" t="n">
        <v>1</v>
      </c>
      <c r="P189" s="166"/>
      <c r="Q189" s="166" t="n">
        <f aca="false">R189+S189</f>
        <v>881</v>
      </c>
      <c r="R189" s="166" t="n">
        <f aca="false">881</f>
        <v>881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17"/>
      <c r="B190" s="18" t="s">
        <v>124</v>
      </c>
      <c r="C190" s="19" t="s">
        <v>20</v>
      </c>
      <c r="D190" s="19"/>
      <c r="E190" s="19" t="s">
        <v>88</v>
      </c>
      <c r="F190" s="20"/>
      <c r="G190" s="146" t="s">
        <v>22</v>
      </c>
      <c r="H190" s="159" t="n">
        <v>17</v>
      </c>
      <c r="I190" s="148" t="n">
        <v>10</v>
      </c>
      <c r="J190" s="148" t="n">
        <v>11</v>
      </c>
      <c r="K190" s="149" t="n">
        <v>21896.56</v>
      </c>
      <c r="L190" s="149" t="n">
        <f aca="false">M190+N190</f>
        <v>9941.39</v>
      </c>
      <c r="M190" s="149" t="n">
        <v>5959.27</v>
      </c>
      <c r="N190" s="190" t="n">
        <v>3982.12</v>
      </c>
      <c r="O190" s="151" t="n">
        <v>10</v>
      </c>
      <c r="P190" s="149" t="n">
        <v>22915.59</v>
      </c>
      <c r="Q190" s="149" t="n">
        <f aca="false">R190+S190</f>
        <v>21526.95</v>
      </c>
      <c r="R190" s="149" t="n">
        <v>19070.72</v>
      </c>
      <c r="S190" s="190" t="n">
        <v>2456.23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42" t="s">
        <v>245</v>
      </c>
      <c r="G191" s="164" t="s">
        <v>23</v>
      </c>
      <c r="H191" s="172" t="n">
        <v>11</v>
      </c>
      <c r="I191" s="165" t="n">
        <v>2</v>
      </c>
      <c r="J191" s="165" t="n">
        <v>2</v>
      </c>
      <c r="K191" s="166" t="n">
        <v>396.45</v>
      </c>
      <c r="L191" s="166" t="n">
        <v>0</v>
      </c>
      <c r="M191" s="166"/>
      <c r="N191" s="156"/>
      <c r="O191" s="168" t="n">
        <v>7</v>
      </c>
      <c r="P191" s="166" t="n">
        <v>10647.7</v>
      </c>
      <c r="Q191" s="166" t="n">
        <v>8092.8</v>
      </c>
      <c r="R191" s="166" t="n">
        <v>8092.8</v>
      </c>
      <c r="S191" s="156" t="n">
        <v>969.1</v>
      </c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208</v>
      </c>
      <c r="C192" s="19"/>
      <c r="D192" s="19"/>
      <c r="E192" s="127"/>
      <c r="F192" s="20"/>
      <c r="G192" s="146" t="s">
        <v>22</v>
      </c>
      <c r="H192" s="173" t="n">
        <v>36</v>
      </c>
      <c r="I192" s="148" t="n">
        <v>25</v>
      </c>
      <c r="J192" s="148" t="n">
        <v>25</v>
      </c>
      <c r="K192" s="149" t="n">
        <v>31863.12</v>
      </c>
      <c r="L192" s="149" t="n">
        <f aca="false">M192+N192</f>
        <v>30664.96</v>
      </c>
      <c r="M192" s="149" t="n">
        <v>22735.25</v>
      </c>
      <c r="N192" s="190" t="n">
        <v>7929.71</v>
      </c>
      <c r="O192" s="151"/>
      <c r="P192" s="149"/>
      <c r="Q192" s="149" t="n">
        <f aca="false">R192+S192</f>
        <v>0</v>
      </c>
      <c r="R192" s="149"/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28"/>
      <c r="F193" s="26" t="s">
        <v>246</v>
      </c>
      <c r="G193" s="152" t="s">
        <v>23</v>
      </c>
      <c r="H193" s="174" t="n">
        <v>10</v>
      </c>
      <c r="I193" s="154" t="n">
        <v>9</v>
      </c>
      <c r="J193" s="154" t="n">
        <v>9</v>
      </c>
      <c r="K193" s="155" t="n">
        <v>8934</v>
      </c>
      <c r="L193" s="155" t="n">
        <f aca="false">M193+N193</f>
        <v>881</v>
      </c>
      <c r="M193" s="155"/>
      <c r="N193" s="156" t="n">
        <v>881</v>
      </c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125</v>
      </c>
      <c r="C194" s="35" t="s">
        <v>33</v>
      </c>
      <c r="D194" s="35" t="s">
        <v>126</v>
      </c>
      <c r="E194" s="35" t="s">
        <v>127</v>
      </c>
      <c r="F194" s="36"/>
      <c r="G194" s="158" t="s">
        <v>22</v>
      </c>
      <c r="H194" s="159" t="n">
        <v>14</v>
      </c>
      <c r="I194" s="160" t="n">
        <v>10</v>
      </c>
      <c r="J194" s="160" t="n">
        <v>12</v>
      </c>
      <c r="K194" s="161" t="n">
        <v>33928.76</v>
      </c>
      <c r="L194" s="161" t="n">
        <f aca="false">M194+N194</f>
        <v>29800.18</v>
      </c>
      <c r="M194" s="161" t="n">
        <v>7126.5</v>
      </c>
      <c r="N194" s="190" t="n">
        <v>22673.68</v>
      </c>
      <c r="O194" s="163" t="n">
        <v>14</v>
      </c>
      <c r="P194" s="161" t="n">
        <v>33154.57</v>
      </c>
      <c r="Q194" s="161" t="n">
        <f aca="false">R194+S194</f>
        <v>33154.57</v>
      </c>
      <c r="R194" s="161" t="n">
        <v>32035.95</v>
      </c>
      <c r="S194" s="190" t="n">
        <v>1118.62</v>
      </c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/>
      <c r="G195" s="164" t="s">
        <v>23</v>
      </c>
      <c r="H195" s="171" t="n">
        <v>34</v>
      </c>
      <c r="I195" s="165" t="n">
        <v>8</v>
      </c>
      <c r="J195" s="165" t="n">
        <v>8</v>
      </c>
      <c r="K195" s="166" t="n">
        <v>13919.8</v>
      </c>
      <c r="L195" s="166" t="n">
        <v>5109.8</v>
      </c>
      <c r="M195" s="166" t="n">
        <v>5109.8</v>
      </c>
      <c r="N195" s="156" t="n">
        <v>5374.1</v>
      </c>
      <c r="O195" s="168" t="n">
        <v>19</v>
      </c>
      <c r="P195" s="166" t="n">
        <v>46951.9</v>
      </c>
      <c r="Q195" s="166" t="n">
        <v>29425.12</v>
      </c>
      <c r="R195" s="166" t="n">
        <v>29425.12</v>
      </c>
      <c r="S195" s="156" t="n">
        <v>2840.4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" hidden="false" customHeight="true" outlineLevel="0" collapsed="false">
      <c r="A196" s="17"/>
      <c r="B196" s="18" t="s">
        <v>128</v>
      </c>
      <c r="C196" s="19" t="s">
        <v>20</v>
      </c>
      <c r="D196" s="19"/>
      <c r="E196" s="19" t="s">
        <v>25</v>
      </c>
      <c r="F196" s="20"/>
      <c r="G196" s="146" t="s">
        <v>22</v>
      </c>
      <c r="H196" s="159" t="n">
        <v>20</v>
      </c>
      <c r="I196" s="148" t="n">
        <v>14</v>
      </c>
      <c r="J196" s="148" t="n">
        <v>15</v>
      </c>
      <c r="K196" s="149" t="n">
        <v>16239.71</v>
      </c>
      <c r="L196" s="149" t="n">
        <f aca="false">M196+N196</f>
        <v>13365.9</v>
      </c>
      <c r="M196" s="149" t="n">
        <v>10868.49</v>
      </c>
      <c r="N196" s="190" t="n">
        <v>2497.41</v>
      </c>
      <c r="O196" s="151" t="n">
        <v>24</v>
      </c>
      <c r="P196" s="149" t="n">
        <v>42740.26</v>
      </c>
      <c r="Q196" s="149" t="n">
        <f aca="false">R196+S196</f>
        <v>42740.26</v>
      </c>
      <c r="R196" s="149" t="n">
        <v>42740.26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71"/>
      <c r="G197" s="164" t="s">
        <v>26</v>
      </c>
      <c r="H197" s="175"/>
      <c r="I197" s="165"/>
      <c r="J197" s="165"/>
      <c r="K197" s="166"/>
      <c r="L197" s="166" t="n">
        <f aca="false">M197+N197</f>
        <v>0</v>
      </c>
      <c r="M197" s="166"/>
      <c r="N197" s="156"/>
      <c r="O197" s="168"/>
      <c r="P197" s="166"/>
      <c r="Q197" s="166" t="n">
        <f aca="false">R197+S197</f>
        <v>0</v>
      </c>
      <c r="R197" s="166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227</v>
      </c>
      <c r="C198" s="19"/>
      <c r="D198" s="19"/>
      <c r="E198" s="19"/>
      <c r="F198" s="20"/>
      <c r="G198" s="204" t="s">
        <v>22</v>
      </c>
      <c r="H198" s="173" t="n">
        <v>5</v>
      </c>
      <c r="I198" s="148" t="n">
        <v>1</v>
      </c>
      <c r="J198" s="148" t="n">
        <v>1</v>
      </c>
      <c r="K198" s="149" t="n">
        <v>621.99</v>
      </c>
      <c r="L198" s="149" t="n">
        <f aca="false">M198+N198</f>
        <v>0</v>
      </c>
      <c r="M198" s="149"/>
      <c r="N198" s="190"/>
      <c r="O198" s="206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57"/>
      <c r="G199" s="207" t="s">
        <v>26</v>
      </c>
      <c r="H199" s="174"/>
      <c r="I199" s="154"/>
      <c r="J199" s="154"/>
      <c r="K199" s="155"/>
      <c r="L199" s="155" t="n">
        <f aca="false">M199+N199</f>
        <v>0</v>
      </c>
      <c r="M199" s="155"/>
      <c r="N199" s="156"/>
      <c r="O199" s="209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129</v>
      </c>
      <c r="C200" s="35" t="s">
        <v>38</v>
      </c>
      <c r="D200" s="35" t="s">
        <v>130</v>
      </c>
      <c r="E200" s="35" t="s">
        <v>25</v>
      </c>
      <c r="F200" s="36"/>
      <c r="G200" s="158" t="s">
        <v>22</v>
      </c>
      <c r="H200" s="159" t="n">
        <v>11</v>
      </c>
      <c r="I200" s="160" t="n">
        <v>10</v>
      </c>
      <c r="J200" s="160" t="n">
        <v>10</v>
      </c>
      <c r="K200" s="161" t="n">
        <v>8519.19</v>
      </c>
      <c r="L200" s="161" t="n">
        <f aca="false">M200+N200</f>
        <v>8519.19</v>
      </c>
      <c r="M200" s="161" t="n">
        <v>5680.61</v>
      </c>
      <c r="N200" s="190" t="n">
        <v>2838.58</v>
      </c>
      <c r="O200" s="163" t="n">
        <v>5</v>
      </c>
      <c r="P200" s="161" t="n">
        <v>66458.37</v>
      </c>
      <c r="Q200" s="161" t="n">
        <f aca="false">R200+S200</f>
        <v>66458.37</v>
      </c>
      <c r="R200" s="161" t="n">
        <v>44463.45</v>
      </c>
      <c r="S200" s="190" t="n">
        <v>21994.92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 t="s">
        <v>209</v>
      </c>
      <c r="G201" s="164" t="s">
        <v>26</v>
      </c>
      <c r="H201" s="153" t="n">
        <v>5</v>
      </c>
      <c r="I201" s="165" t="n">
        <v>1</v>
      </c>
      <c r="J201" s="165" t="n">
        <v>1</v>
      </c>
      <c r="K201" s="166" t="n">
        <v>1762</v>
      </c>
      <c r="L201" s="161" t="n">
        <f aca="false">M201+N201</f>
        <v>1762</v>
      </c>
      <c r="M201" s="166" t="n">
        <v>0</v>
      </c>
      <c r="N201" s="156" t="n">
        <v>1762</v>
      </c>
      <c r="O201" s="168" t="n">
        <v>7</v>
      </c>
      <c r="P201" s="166" t="n">
        <v>20590.6</v>
      </c>
      <c r="Q201" s="166" t="n">
        <f aca="false">R201+S201</f>
        <v>22040.1</v>
      </c>
      <c r="R201" s="166" t="n">
        <f aca="false">881+881+14612.2+1409.5</f>
        <v>17783.7</v>
      </c>
      <c r="S201" s="167" t="n">
        <f aca="false">4256.4</f>
        <v>4256.4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6.5" hidden="false" customHeight="true" outlineLevel="0" collapsed="false">
      <c r="A202" s="17"/>
      <c r="B202" s="18" t="s">
        <v>131</v>
      </c>
      <c r="C202" s="19" t="s">
        <v>38</v>
      </c>
      <c r="D202" s="19" t="s">
        <v>130</v>
      </c>
      <c r="E202" s="19" t="s">
        <v>25</v>
      </c>
      <c r="F202" s="20"/>
      <c r="G202" s="146" t="s">
        <v>22</v>
      </c>
      <c r="H202" s="159" t="n">
        <v>10</v>
      </c>
      <c r="I202" s="148" t="n">
        <v>9</v>
      </c>
      <c r="J202" s="148" t="n">
        <v>14</v>
      </c>
      <c r="K202" s="149" t="n">
        <v>35102.27</v>
      </c>
      <c r="L202" s="149" t="n">
        <f aca="false">M202+N202</f>
        <v>31320.86</v>
      </c>
      <c r="M202" s="149" t="n">
        <v>25996.1</v>
      </c>
      <c r="N202" s="190" t="n">
        <v>5324.76</v>
      </c>
      <c r="O202" s="151" t="n">
        <v>16</v>
      </c>
      <c r="P202" s="149" t="n">
        <v>159038.28</v>
      </c>
      <c r="Q202" s="149" t="n">
        <f aca="false">R202+S202</f>
        <v>151501.71</v>
      </c>
      <c r="R202" s="149" t="n">
        <v>58274.05</v>
      </c>
      <c r="S202" s="198" t="n">
        <v>93227.66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6.5" hidden="false" customHeight="true" outlineLevel="0" collapsed="false">
      <c r="A203" s="17"/>
      <c r="B203" s="18"/>
      <c r="C203" s="18"/>
      <c r="D203" s="18"/>
      <c r="E203" s="18"/>
      <c r="F203" s="26" t="s">
        <v>210</v>
      </c>
      <c r="G203" s="152" t="s">
        <v>26</v>
      </c>
      <c r="H203" s="153" t="n">
        <v>4</v>
      </c>
      <c r="I203" s="154" t="n">
        <v>4</v>
      </c>
      <c r="J203" s="154" t="n">
        <v>4</v>
      </c>
      <c r="K203" s="155" t="n">
        <v>3034.9</v>
      </c>
      <c r="L203" s="155" t="n">
        <f aca="false">M203+N203</f>
        <v>2114.4</v>
      </c>
      <c r="M203" s="155" t="n">
        <f aca="false">1585.8</f>
        <v>1585.8</v>
      </c>
      <c r="N203" s="156" t="n">
        <v>528.6</v>
      </c>
      <c r="O203" s="157"/>
      <c r="P203" s="155"/>
      <c r="Q203" s="155" t="n">
        <f aca="false">R203+S203</f>
        <v>0</v>
      </c>
      <c r="R203" s="155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33"/>
      <c r="B204" s="34" t="s">
        <v>132</v>
      </c>
      <c r="C204" s="35" t="s">
        <v>20</v>
      </c>
      <c r="D204" s="35"/>
      <c r="E204" s="35" t="s">
        <v>69</v>
      </c>
      <c r="F204" s="38"/>
      <c r="G204" s="146" t="s">
        <v>22</v>
      </c>
      <c r="H204" s="159" t="n">
        <v>12</v>
      </c>
      <c r="I204" s="160" t="n">
        <v>7</v>
      </c>
      <c r="J204" s="160" t="n">
        <v>11</v>
      </c>
      <c r="K204" s="161" t="n">
        <v>23368.97</v>
      </c>
      <c r="L204" s="161" t="n">
        <f aca="false">M204+N204</f>
        <v>23368.97</v>
      </c>
      <c r="M204" s="161" t="n">
        <v>23368.97</v>
      </c>
      <c r="N204" s="190"/>
      <c r="O204" s="163" t="n">
        <v>13</v>
      </c>
      <c r="P204" s="161" t="n">
        <v>43004.3</v>
      </c>
      <c r="Q204" s="161" t="n">
        <f aca="false">R204+S204</f>
        <v>39943.71</v>
      </c>
      <c r="R204" s="161" t="n">
        <v>28827.93</v>
      </c>
      <c r="S204" s="190" t="n">
        <v>11115.78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33"/>
      <c r="B205" s="34"/>
      <c r="C205" s="34"/>
      <c r="D205" s="34"/>
      <c r="E205" s="34"/>
      <c r="F205" s="42" t="s">
        <v>211</v>
      </c>
      <c r="G205" s="164" t="s">
        <v>26</v>
      </c>
      <c r="H205" s="153" t="n">
        <v>8</v>
      </c>
      <c r="I205" s="165" t="n">
        <v>3</v>
      </c>
      <c r="J205" s="165" t="n">
        <v>3</v>
      </c>
      <c r="K205" s="166" t="n">
        <v>10184.36</v>
      </c>
      <c r="L205" s="166" t="n">
        <f aca="false">M205+N205</f>
        <v>0</v>
      </c>
      <c r="M205" s="166"/>
      <c r="N205" s="156"/>
      <c r="O205" s="168" t="n">
        <v>1</v>
      </c>
      <c r="P205" s="166" t="n">
        <v>3700.2</v>
      </c>
      <c r="Q205" s="166" t="n">
        <f aca="false">R205+S205</f>
        <v>0</v>
      </c>
      <c r="R205" s="166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72"/>
      <c r="B206" s="73" t="s">
        <v>133</v>
      </c>
      <c r="C206" s="74" t="s">
        <v>20</v>
      </c>
      <c r="D206" s="74"/>
      <c r="E206" s="74" t="s">
        <v>25</v>
      </c>
      <c r="F206" s="22"/>
      <c r="G206" s="146" t="s">
        <v>22</v>
      </c>
      <c r="H206" s="159" t="n">
        <v>4</v>
      </c>
      <c r="I206" s="148" t="n">
        <v>4</v>
      </c>
      <c r="J206" s="148" t="n">
        <v>5</v>
      </c>
      <c r="K206" s="149" t="n">
        <v>7984.73</v>
      </c>
      <c r="L206" s="149" t="n">
        <f aca="false">M206+N206</f>
        <v>7984.73</v>
      </c>
      <c r="M206" s="149" t="n">
        <v>2784.03</v>
      </c>
      <c r="N206" s="190" t="n">
        <v>5200.7</v>
      </c>
      <c r="O206" s="151" t="n">
        <v>2</v>
      </c>
      <c r="P206" s="149" t="n">
        <v>4329.79</v>
      </c>
      <c r="Q206" s="149" t="n">
        <f aca="false">R206+S206</f>
        <v>4329.79</v>
      </c>
      <c r="R206" s="149" t="n">
        <v>4329.79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6.5" hidden="false" customHeight="true" outlineLevel="0" collapsed="false">
      <c r="A207" s="72"/>
      <c r="B207" s="73"/>
      <c r="C207" s="73"/>
      <c r="D207" s="73"/>
      <c r="E207" s="73"/>
      <c r="F207" s="42" t="s">
        <v>212</v>
      </c>
      <c r="G207" s="164" t="s">
        <v>26</v>
      </c>
      <c r="H207" s="171" t="n">
        <v>4</v>
      </c>
      <c r="I207" s="165" t="n">
        <v>1</v>
      </c>
      <c r="J207" s="165" t="n">
        <v>1</v>
      </c>
      <c r="K207" s="166" t="n">
        <v>1409.6</v>
      </c>
      <c r="L207" s="166" t="n">
        <f aca="false">M207+N207</f>
        <v>1409.6</v>
      </c>
      <c r="M207" s="166" t="n">
        <f aca="false">1409.6</f>
        <v>1409.6</v>
      </c>
      <c r="N207" s="156"/>
      <c r="O207" s="168" t="n">
        <v>2</v>
      </c>
      <c r="P207" s="166" t="n">
        <v>1321.5</v>
      </c>
      <c r="Q207" s="166" t="n">
        <f aca="false">R207+S207</f>
        <v>2907.3</v>
      </c>
      <c r="R207" s="166" t="n">
        <f aca="false">1321.5</f>
        <v>1321.5</v>
      </c>
      <c r="S207" s="156" t="n">
        <v>1585.8</v>
      </c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72"/>
      <c r="B208" s="73" t="s">
        <v>134</v>
      </c>
      <c r="C208" s="74" t="s">
        <v>20</v>
      </c>
      <c r="D208" s="74"/>
      <c r="E208" s="74" t="s">
        <v>25</v>
      </c>
      <c r="F208" s="20"/>
      <c r="G208" s="146" t="s">
        <v>22</v>
      </c>
      <c r="H208" s="169"/>
      <c r="I208" s="148"/>
      <c r="J208" s="148"/>
      <c r="K208" s="149"/>
      <c r="L208" s="149" t="n">
        <f aca="false">M208+N208</f>
        <v>0</v>
      </c>
      <c r="M208" s="149"/>
      <c r="N208" s="190"/>
      <c r="O208" s="151" t="n">
        <v>1</v>
      </c>
      <c r="P208" s="149" t="n">
        <v>13019.26</v>
      </c>
      <c r="Q208" s="149" t="n">
        <f aca="false">R208+S208</f>
        <v>13019.26</v>
      </c>
      <c r="R208" s="149" t="n">
        <v>13019.26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72"/>
      <c r="B209" s="73"/>
      <c r="C209" s="73"/>
      <c r="D209" s="73"/>
      <c r="E209" s="73"/>
      <c r="F209" s="42" t="s">
        <v>213</v>
      </c>
      <c r="G209" s="164" t="s">
        <v>26</v>
      </c>
      <c r="H209" s="153" t="n">
        <v>3</v>
      </c>
      <c r="I209" s="165" t="n">
        <v>1</v>
      </c>
      <c r="J209" s="165" t="n">
        <v>1</v>
      </c>
      <c r="K209" s="166" t="n">
        <v>552.3</v>
      </c>
      <c r="L209" s="166" t="n">
        <f aca="false">M209+N209</f>
        <v>0</v>
      </c>
      <c r="M209" s="166"/>
      <c r="N209" s="156"/>
      <c r="O209" s="168" t="n">
        <v>6</v>
      </c>
      <c r="P209" s="166" t="n">
        <v>23840.15</v>
      </c>
      <c r="Q209" s="166" t="n">
        <f aca="false">R209+S209</f>
        <v>28509.42</v>
      </c>
      <c r="R209" s="166" t="n">
        <f aca="false">19875.62</f>
        <v>19875.62</v>
      </c>
      <c r="S209" s="156" t="n">
        <f aca="false">8633.8</f>
        <v>8633.8</v>
      </c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" hidden="false" customHeight="true" outlineLevel="0" collapsed="false">
      <c r="A210" s="17"/>
      <c r="B210" s="18" t="s">
        <v>135</v>
      </c>
      <c r="C210" s="19" t="s">
        <v>20</v>
      </c>
      <c r="D210" s="19"/>
      <c r="E210" s="19" t="s">
        <v>69</v>
      </c>
      <c r="F210" s="22"/>
      <c r="G210" s="146" t="s">
        <v>22</v>
      </c>
      <c r="H210" s="159" t="n">
        <v>13</v>
      </c>
      <c r="I210" s="148" t="n">
        <v>7</v>
      </c>
      <c r="J210" s="148" t="n">
        <v>8</v>
      </c>
      <c r="K210" s="149" t="n">
        <v>16414.76</v>
      </c>
      <c r="L210" s="149" t="n">
        <f aca="false">M210+N210</f>
        <v>11754.09</v>
      </c>
      <c r="M210" s="149" t="n">
        <v>4158.32</v>
      </c>
      <c r="N210" s="190" t="n">
        <v>7595.77</v>
      </c>
      <c r="O210" s="151" t="n">
        <v>13</v>
      </c>
      <c r="P210" s="149" t="n">
        <v>42132.95</v>
      </c>
      <c r="Q210" s="149" t="n">
        <f aca="false">R210+S210</f>
        <v>42132.95</v>
      </c>
      <c r="R210" s="149" t="n">
        <v>16446.2</v>
      </c>
      <c r="S210" s="190" t="n">
        <v>25686.75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17"/>
      <c r="B211" s="18"/>
      <c r="C211" s="18"/>
      <c r="D211" s="18"/>
      <c r="E211" s="18"/>
      <c r="F211" s="26" t="s">
        <v>277</v>
      </c>
      <c r="G211" s="152" t="s">
        <v>26</v>
      </c>
      <c r="H211" s="171" t="n">
        <v>7</v>
      </c>
      <c r="I211" s="154"/>
      <c r="J211" s="154" t="n">
        <v>2</v>
      </c>
      <c r="K211" s="155" t="n">
        <v>1409.6</v>
      </c>
      <c r="L211" s="155" t="n">
        <f aca="false">M211+N211</f>
        <v>0</v>
      </c>
      <c r="M211" s="155"/>
      <c r="N211" s="156"/>
      <c r="O211" s="157" t="n">
        <v>2</v>
      </c>
      <c r="P211" s="155" t="n">
        <v>2292.9</v>
      </c>
      <c r="Q211" s="155" t="n">
        <f aca="false">R211+S211</f>
        <v>792.9</v>
      </c>
      <c r="R211" s="155" t="n">
        <f aca="false">792.9</f>
        <v>792.9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33"/>
      <c r="B212" s="34" t="s">
        <v>136</v>
      </c>
      <c r="C212" s="35" t="s">
        <v>20</v>
      </c>
      <c r="D212" s="35"/>
      <c r="E212" s="35" t="s">
        <v>98</v>
      </c>
      <c r="F212" s="36"/>
      <c r="G212" s="146" t="s">
        <v>22</v>
      </c>
      <c r="H212" s="159" t="n">
        <v>21</v>
      </c>
      <c r="I212" s="160" t="n">
        <v>14</v>
      </c>
      <c r="J212" s="160" t="n">
        <v>21</v>
      </c>
      <c r="K212" s="161" t="n">
        <v>39745.81</v>
      </c>
      <c r="L212" s="161" t="n">
        <f aca="false">M212+N212</f>
        <v>27069.8</v>
      </c>
      <c r="M212" s="161" t="n">
        <v>20218.61</v>
      </c>
      <c r="N212" s="190" t="n">
        <v>6851.19</v>
      </c>
      <c r="O212" s="163" t="n">
        <v>11</v>
      </c>
      <c r="P212" s="161" t="n">
        <v>23371.27</v>
      </c>
      <c r="Q212" s="161" t="n">
        <f aca="false">R212+S212</f>
        <v>14877.54</v>
      </c>
      <c r="R212" s="161" t="n">
        <v>14877.54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33"/>
      <c r="B213" s="34"/>
      <c r="C213" s="34"/>
      <c r="D213" s="34"/>
      <c r="E213" s="34"/>
      <c r="F213" s="42" t="s">
        <v>247</v>
      </c>
      <c r="G213" s="164" t="s">
        <v>23</v>
      </c>
      <c r="H213" s="171" t="n">
        <v>6</v>
      </c>
      <c r="I213" s="165" t="n">
        <v>6</v>
      </c>
      <c r="J213" s="165" t="n">
        <v>6</v>
      </c>
      <c r="K213" s="166" t="n">
        <v>4581.2</v>
      </c>
      <c r="L213" s="166" t="n">
        <f aca="false">M213+N213</f>
        <v>4052.6</v>
      </c>
      <c r="M213" s="166" t="n">
        <v>4052.6</v>
      </c>
      <c r="N213" s="156"/>
      <c r="O213" s="168" t="n">
        <v>8</v>
      </c>
      <c r="P213" s="166" t="n">
        <v>15505.6</v>
      </c>
      <c r="Q213" s="166" t="n">
        <v>5638.4</v>
      </c>
      <c r="R213" s="166" t="n">
        <v>5638.4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17"/>
      <c r="B214" s="18" t="s">
        <v>137</v>
      </c>
      <c r="C214" s="19" t="s">
        <v>20</v>
      </c>
      <c r="D214" s="19"/>
      <c r="E214" s="19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11</v>
      </c>
      <c r="P214" s="149" t="n">
        <v>41160.61</v>
      </c>
      <c r="Q214" s="149" t="n">
        <f aca="false">R214+S214</f>
        <v>0</v>
      </c>
      <c r="R214" s="149"/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20.25" hidden="false" customHeight="true" outlineLevel="0" collapsed="false">
      <c r="A215" s="17"/>
      <c r="B215" s="18"/>
      <c r="C215" s="18"/>
      <c r="D215" s="18"/>
      <c r="E215" s="18"/>
      <c r="F215" s="26" t="s">
        <v>286</v>
      </c>
      <c r="G215" s="152" t="s">
        <v>26</v>
      </c>
      <c r="H215" s="153" t="n">
        <v>9</v>
      </c>
      <c r="I215" s="154" t="n">
        <v>1</v>
      </c>
      <c r="J215" s="154" t="n">
        <v>1</v>
      </c>
      <c r="K215" s="155" t="n">
        <v>1938.2</v>
      </c>
      <c r="L215" s="155" t="n">
        <f aca="false">M215+N215</f>
        <v>0</v>
      </c>
      <c r="M215" s="155"/>
      <c r="N215" s="156"/>
      <c r="O215" s="157"/>
      <c r="P215" s="155"/>
      <c r="Q215" s="155" t="n">
        <f aca="false">R215+S215</f>
        <v>0</v>
      </c>
      <c r="R215" s="155"/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54"/>
      <c r="B216" s="55" t="s">
        <v>138</v>
      </c>
      <c r="C216" s="56" t="s">
        <v>33</v>
      </c>
      <c r="D216" s="56" t="s">
        <v>139</v>
      </c>
      <c r="E216" s="56" t="s">
        <v>25</v>
      </c>
      <c r="F216" s="36"/>
      <c r="G216" s="146" t="s">
        <v>22</v>
      </c>
      <c r="H216" s="169"/>
      <c r="I216" s="160"/>
      <c r="J216" s="160"/>
      <c r="K216" s="161"/>
      <c r="L216" s="161" t="n">
        <f aca="false">M216+N216</f>
        <v>0</v>
      </c>
      <c r="M216" s="161"/>
      <c r="N216" s="190"/>
      <c r="O216" s="163"/>
      <c r="P216" s="161"/>
      <c r="Q216" s="161" t="n">
        <f aca="false">R216+S216</f>
        <v>0</v>
      </c>
      <c r="R216" s="161"/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54"/>
      <c r="B217" s="55"/>
      <c r="C217" s="55"/>
      <c r="D217" s="55"/>
      <c r="E217" s="55"/>
      <c r="F217" s="26" t="s">
        <v>214</v>
      </c>
      <c r="G217" s="152" t="s">
        <v>26</v>
      </c>
      <c r="H217" s="171" t="n">
        <v>5</v>
      </c>
      <c r="I217" s="154" t="n">
        <v>2</v>
      </c>
      <c r="J217" s="154" t="n">
        <v>2</v>
      </c>
      <c r="K217" s="155" t="n">
        <v>4158.32</v>
      </c>
      <c r="L217" s="155" t="n">
        <f aca="false">M217+N217</f>
        <v>4158.32</v>
      </c>
      <c r="M217" s="155" t="n">
        <f aca="false">2466.8</f>
        <v>2466.8</v>
      </c>
      <c r="N217" s="156" t="n">
        <f aca="false">1691.52</f>
        <v>1691.52</v>
      </c>
      <c r="O217" s="157"/>
      <c r="P217" s="155"/>
      <c r="Q217" s="155" t="n">
        <f aca="false">R217+S217</f>
        <v>0</v>
      </c>
      <c r="R217" s="155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33"/>
      <c r="B218" s="34" t="s">
        <v>140</v>
      </c>
      <c r="C218" s="35" t="s">
        <v>20</v>
      </c>
      <c r="D218" s="35"/>
      <c r="E218" s="35" t="s">
        <v>141</v>
      </c>
      <c r="F218" s="36"/>
      <c r="G218" s="146" t="s">
        <v>22</v>
      </c>
      <c r="H218" s="159" t="n">
        <v>16</v>
      </c>
      <c r="I218" s="160" t="n">
        <v>13</v>
      </c>
      <c r="J218" s="160" t="n">
        <v>19</v>
      </c>
      <c r="K218" s="161" t="n">
        <v>30108.72</v>
      </c>
      <c r="L218" s="161" t="n">
        <f aca="false">M218+N218</f>
        <v>16759.36</v>
      </c>
      <c r="M218" s="161" t="n">
        <v>13067.09</v>
      </c>
      <c r="N218" s="190" t="n">
        <v>3692.27</v>
      </c>
      <c r="O218" s="163" t="n">
        <v>12</v>
      </c>
      <c r="P218" s="161" t="n">
        <v>72912.46</v>
      </c>
      <c r="Q218" s="161" t="n">
        <f aca="false">R218+S218</f>
        <v>65251.23</v>
      </c>
      <c r="R218" s="161" t="n">
        <v>24064.99</v>
      </c>
      <c r="S218" s="190" t="n">
        <v>41186.24</v>
      </c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215</v>
      </c>
      <c r="G219" s="164" t="s">
        <v>26</v>
      </c>
      <c r="H219" s="175" t="n">
        <v>2</v>
      </c>
      <c r="I219" s="165"/>
      <c r="J219" s="165"/>
      <c r="K219" s="166"/>
      <c r="L219" s="166" t="n">
        <f aca="false">M219+N219</f>
        <v>0</v>
      </c>
      <c r="M219" s="166"/>
      <c r="N219" s="156"/>
      <c r="O219" s="168"/>
      <c r="P219" s="166"/>
      <c r="Q219" s="166" t="n">
        <f aca="false">R219+S219</f>
        <v>0</v>
      </c>
      <c r="R219" s="166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251</v>
      </c>
      <c r="C220" s="19" t="s">
        <v>20</v>
      </c>
      <c r="D220" s="19"/>
      <c r="E220" s="19" t="s">
        <v>116</v>
      </c>
      <c r="F220" s="20"/>
      <c r="G220" s="146" t="s">
        <v>22</v>
      </c>
      <c r="H220" s="173" t="n">
        <v>6</v>
      </c>
      <c r="I220" s="148" t="n">
        <v>3</v>
      </c>
      <c r="J220" s="148" t="n">
        <v>3</v>
      </c>
      <c r="K220" s="149" t="n">
        <v>3851.92</v>
      </c>
      <c r="L220" s="166" t="n">
        <f aca="false">M220+N220</f>
        <v>3851.92</v>
      </c>
      <c r="M220" s="149"/>
      <c r="N220" s="190" t="n">
        <v>3851.92</v>
      </c>
      <c r="O220" s="206"/>
      <c r="P220" s="149"/>
      <c r="Q220" s="149"/>
      <c r="R220" s="149"/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17"/>
      <c r="B221" s="18"/>
      <c r="C221" s="18"/>
      <c r="D221" s="18"/>
      <c r="E221" s="18"/>
      <c r="F221" s="26" t="s">
        <v>252</v>
      </c>
      <c r="G221" s="152" t="s">
        <v>26</v>
      </c>
      <c r="H221" s="174" t="n">
        <v>7</v>
      </c>
      <c r="I221" s="154"/>
      <c r="J221" s="154"/>
      <c r="K221" s="155"/>
      <c r="L221" s="166" t="n">
        <f aca="false">M221+N221</f>
        <v>0</v>
      </c>
      <c r="M221" s="155"/>
      <c r="N221" s="156"/>
      <c r="O221" s="209"/>
      <c r="P221" s="155"/>
      <c r="Q221" s="155"/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142</v>
      </c>
      <c r="C222" s="56" t="s">
        <v>20</v>
      </c>
      <c r="D222" s="56"/>
      <c r="E222" s="56" t="s">
        <v>25</v>
      </c>
      <c r="F222" s="36"/>
      <c r="G222" s="158" t="s">
        <v>22</v>
      </c>
      <c r="H222" s="173" t="n">
        <v>5</v>
      </c>
      <c r="I222" s="148" t="n">
        <v>4</v>
      </c>
      <c r="J222" s="148" t="n">
        <v>4</v>
      </c>
      <c r="K222" s="149" t="n">
        <v>3418.28</v>
      </c>
      <c r="L222" s="149" t="n">
        <f aca="false">M222+N222</f>
        <v>3418.28</v>
      </c>
      <c r="M222" s="149" t="n">
        <v>1656.28</v>
      </c>
      <c r="N222" s="190" t="n">
        <v>1762</v>
      </c>
      <c r="O222" s="228" t="n">
        <v>6</v>
      </c>
      <c r="P222" s="161" t="n">
        <v>10969.43</v>
      </c>
      <c r="Q222" s="161" t="n">
        <f aca="false">R222+S222</f>
        <v>8844.46</v>
      </c>
      <c r="R222" s="161" t="n">
        <v>3342.51</v>
      </c>
      <c r="S222" s="190" t="n">
        <v>5501.95</v>
      </c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42" t="s">
        <v>216</v>
      </c>
      <c r="G223" s="164" t="s">
        <v>26</v>
      </c>
      <c r="H223" s="177" t="n">
        <v>7</v>
      </c>
      <c r="I223" s="165" t="n">
        <v>3</v>
      </c>
      <c r="J223" s="165" t="n">
        <v>3</v>
      </c>
      <c r="K223" s="166" t="n">
        <v>5990.8</v>
      </c>
      <c r="L223" s="166" t="n">
        <f aca="false">M223+N223</f>
        <v>5990.8</v>
      </c>
      <c r="M223" s="166" t="n">
        <v>5167.21</v>
      </c>
      <c r="N223" s="167" t="n">
        <v>823.59</v>
      </c>
      <c r="O223" s="238" t="n">
        <v>12</v>
      </c>
      <c r="P223" s="166" t="n">
        <v>7343.2</v>
      </c>
      <c r="Q223" s="166" t="n">
        <f aca="false">R223+S223</f>
        <v>8633.8</v>
      </c>
      <c r="R223" s="166" t="n">
        <f aca="false">823.59+1233.4+2819.2</f>
        <v>4876.19</v>
      </c>
      <c r="S223" s="167" t="n">
        <f aca="false">3757.61</f>
        <v>3757.61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18" t="s">
        <v>287</v>
      </c>
      <c r="C224" s="56" t="s">
        <v>20</v>
      </c>
      <c r="D224" s="19"/>
      <c r="E224" s="56" t="s">
        <v>25</v>
      </c>
      <c r="F224" s="20"/>
      <c r="G224" s="146" t="s">
        <v>22</v>
      </c>
      <c r="H224" s="147"/>
      <c r="I224" s="148"/>
      <c r="J224" s="148"/>
      <c r="K224" s="149"/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18"/>
      <c r="C225" s="18"/>
      <c r="D225" s="18"/>
      <c r="E225" s="18"/>
      <c r="F225" s="26" t="s">
        <v>288</v>
      </c>
      <c r="G225" s="152" t="s">
        <v>26</v>
      </c>
      <c r="H225" s="176" t="n">
        <v>4</v>
      </c>
      <c r="I225" s="154" t="n">
        <v>3</v>
      </c>
      <c r="J225" s="154" t="n">
        <v>3</v>
      </c>
      <c r="K225" s="155" t="n">
        <v>3171.6</v>
      </c>
      <c r="L225" s="155" t="n">
        <f aca="false">M225+N225</f>
        <v>3171.6</v>
      </c>
      <c r="M225" s="155"/>
      <c r="N225" s="156" t="n">
        <f aca="false">3171.6</f>
        <v>3171.6</v>
      </c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33"/>
      <c r="B226" s="34" t="s">
        <v>143</v>
      </c>
      <c r="C226" s="35" t="s">
        <v>20</v>
      </c>
      <c r="D226" s="35"/>
      <c r="E226" s="35" t="s">
        <v>25</v>
      </c>
      <c r="F226" s="36"/>
      <c r="G226" s="158" t="s">
        <v>22</v>
      </c>
      <c r="H226" s="169" t="n">
        <v>1</v>
      </c>
      <c r="I226" s="160"/>
      <c r="J226" s="160"/>
      <c r="K226" s="161"/>
      <c r="L226" s="161" t="n">
        <f aca="false">M226+N226</f>
        <v>0</v>
      </c>
      <c r="M226" s="161"/>
      <c r="N226" s="190"/>
      <c r="O226" s="163" t="n">
        <v>1</v>
      </c>
      <c r="P226" s="161" t="n">
        <v>1515.67</v>
      </c>
      <c r="Q226" s="161" t="n">
        <f aca="false">R226+S226</f>
        <v>1515.67</v>
      </c>
      <c r="R226" s="161" t="n">
        <v>1515.67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217</v>
      </c>
      <c r="G227" s="164" t="s">
        <v>26</v>
      </c>
      <c r="H227" s="171" t="n">
        <v>8</v>
      </c>
      <c r="I227" s="165" t="n">
        <v>1</v>
      </c>
      <c r="J227" s="165" t="n">
        <v>1</v>
      </c>
      <c r="K227" s="166" t="n">
        <v>4970</v>
      </c>
      <c r="L227" s="166" t="n">
        <f aca="false">M227+N227</f>
        <v>11100.6</v>
      </c>
      <c r="M227" s="166" t="n">
        <f aca="false">704.8</f>
        <v>704.8</v>
      </c>
      <c r="N227" s="156" t="n">
        <f aca="false">10395.8</f>
        <v>10395.8</v>
      </c>
      <c r="O227" s="168" t="n">
        <v>7</v>
      </c>
      <c r="P227" s="166" t="n">
        <v>34775.2</v>
      </c>
      <c r="Q227" s="166" t="n">
        <f aca="false">R227+S227</f>
        <v>21496.4</v>
      </c>
      <c r="R227" s="166" t="n">
        <f aca="false">704.8+13038.8</f>
        <v>13743.6</v>
      </c>
      <c r="S227" s="156" t="n">
        <v>7752.8</v>
      </c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144</v>
      </c>
      <c r="C228" s="19" t="s">
        <v>20</v>
      </c>
      <c r="D228" s="19"/>
      <c r="E228" s="19" t="s">
        <v>81</v>
      </c>
      <c r="F228" s="20"/>
      <c r="G228" s="146" t="s">
        <v>22</v>
      </c>
      <c r="H228" s="159" t="n">
        <v>13</v>
      </c>
      <c r="I228" s="148" t="n">
        <v>7</v>
      </c>
      <c r="J228" s="148" t="n">
        <v>8</v>
      </c>
      <c r="K228" s="149" t="n">
        <v>7870.42</v>
      </c>
      <c r="L228" s="149" t="n">
        <f aca="false">M228+N228</f>
        <v>7588.94</v>
      </c>
      <c r="M228" s="149" t="n">
        <v>2096.78</v>
      </c>
      <c r="N228" s="190" t="n">
        <v>5492.16</v>
      </c>
      <c r="O228" s="151" t="n">
        <v>6</v>
      </c>
      <c r="P228" s="149" t="n">
        <v>24751.07</v>
      </c>
      <c r="Q228" s="149" t="n">
        <f aca="false">R228+S228</f>
        <v>16284.3</v>
      </c>
      <c r="R228" s="149" t="n">
        <v>3636.77</v>
      </c>
      <c r="S228" s="190" t="n">
        <v>12647.53</v>
      </c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218</v>
      </c>
      <c r="G229" s="152" t="s">
        <v>26</v>
      </c>
      <c r="H229" s="171" t="n">
        <v>6</v>
      </c>
      <c r="I229" s="154" t="n">
        <v>3</v>
      </c>
      <c r="J229" s="154" t="n">
        <v>3</v>
      </c>
      <c r="K229" s="155" t="n">
        <v>5341.3</v>
      </c>
      <c r="L229" s="155" t="n">
        <f aca="false">M229+N229</f>
        <v>4052.6</v>
      </c>
      <c r="M229" s="155" t="n">
        <f aca="false">4052.6</f>
        <v>4052.6</v>
      </c>
      <c r="N229" s="156"/>
      <c r="O229" s="157" t="n">
        <v>2</v>
      </c>
      <c r="P229" s="155" t="s">
        <v>151</v>
      </c>
      <c r="Q229" s="155" t="n">
        <f aca="false">R229+S229</f>
        <v>4493.1</v>
      </c>
      <c r="R229" s="155" t="n">
        <f aca="false">4493.1</f>
        <v>4493.1</v>
      </c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true" outlineLevel="0" collapsed="false">
      <c r="A230" s="33"/>
      <c r="B230" s="34" t="s">
        <v>145</v>
      </c>
      <c r="C230" s="35" t="s">
        <v>20</v>
      </c>
      <c r="D230" s="35"/>
      <c r="E230" s="35" t="s">
        <v>98</v>
      </c>
      <c r="F230" s="36"/>
      <c r="G230" s="146" t="s">
        <v>22</v>
      </c>
      <c r="H230" s="169"/>
      <c r="I230" s="160"/>
      <c r="J230" s="160"/>
      <c r="K230" s="161"/>
      <c r="L230" s="161" t="n">
        <f aca="false">M230+N230</f>
        <v>0</v>
      </c>
      <c r="M230" s="161"/>
      <c r="N230" s="190"/>
      <c r="O230" s="163"/>
      <c r="P230" s="161"/>
      <c r="Q230" s="161" t="n">
        <f aca="false">R230+S230</f>
        <v>0</v>
      </c>
      <c r="R230" s="161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33"/>
      <c r="B231" s="34"/>
      <c r="C231" s="34"/>
      <c r="D231" s="34"/>
      <c r="E231" s="34"/>
      <c r="F231" s="71"/>
      <c r="G231" s="164" t="s">
        <v>23</v>
      </c>
      <c r="H231" s="175"/>
      <c r="I231" s="165"/>
      <c r="J231" s="165"/>
      <c r="K231" s="166"/>
      <c r="L231" s="166" t="n">
        <f aca="false">M231+N231</f>
        <v>0</v>
      </c>
      <c r="M231" s="166"/>
      <c r="N231" s="156"/>
      <c r="O231" s="168"/>
      <c r="P231" s="166"/>
      <c r="Q231" s="166" t="n">
        <f aca="false">R231+S231</f>
        <v>0</v>
      </c>
      <c r="R231" s="166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17"/>
      <c r="B232" s="18" t="s">
        <v>146</v>
      </c>
      <c r="C232" s="19" t="s">
        <v>20</v>
      </c>
      <c r="D232" s="19"/>
      <c r="E232" s="19" t="s">
        <v>25</v>
      </c>
      <c r="F232" s="22"/>
      <c r="G232" s="146" t="s">
        <v>22</v>
      </c>
      <c r="H232" s="173" t="n">
        <v>12</v>
      </c>
      <c r="I232" s="148" t="n">
        <v>7</v>
      </c>
      <c r="J232" s="148" t="n">
        <v>9</v>
      </c>
      <c r="K232" s="149" t="n">
        <v>10138.98</v>
      </c>
      <c r="L232" s="149" t="n">
        <f aca="false">M232+N232</f>
        <v>10138.98</v>
      </c>
      <c r="M232" s="149" t="n">
        <v>2819.2</v>
      </c>
      <c r="N232" s="190" t="n">
        <v>7319.78</v>
      </c>
      <c r="O232" s="206" t="n">
        <v>2</v>
      </c>
      <c r="P232" s="149" t="n">
        <v>15606.38</v>
      </c>
      <c r="Q232" s="149" t="n">
        <f aca="false">R232+S232</f>
        <v>15606.38</v>
      </c>
      <c r="R232" s="149" t="n">
        <v>1546.68</v>
      </c>
      <c r="S232" s="190" t="n">
        <v>14059.7</v>
      </c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42" t="s">
        <v>219</v>
      </c>
      <c r="G233" s="164" t="s">
        <v>26</v>
      </c>
      <c r="H233" s="178" t="n">
        <v>2</v>
      </c>
      <c r="I233" s="165" t="n">
        <v>1</v>
      </c>
      <c r="J233" s="165" t="n">
        <v>1</v>
      </c>
      <c r="K233" s="166" t="n">
        <v>1585.8</v>
      </c>
      <c r="L233" s="166" t="n">
        <f aca="false">M233+N233</f>
        <v>1585.8</v>
      </c>
      <c r="M233" s="166" t="n">
        <v>0</v>
      </c>
      <c r="N233" s="167" t="n">
        <v>1585.8</v>
      </c>
      <c r="O233" s="238" t="n">
        <v>1</v>
      </c>
      <c r="P233" s="166" t="n">
        <v>1585.8</v>
      </c>
      <c r="Q233" s="166" t="n">
        <f aca="false">R233+S233</f>
        <v>1585.8</v>
      </c>
      <c r="R233" s="166" t="n">
        <v>1585.8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289</v>
      </c>
      <c r="C234" s="19"/>
      <c r="D234" s="19"/>
      <c r="E234" s="19"/>
      <c r="F234" s="20"/>
      <c r="G234" s="146" t="s">
        <v>22</v>
      </c>
      <c r="H234" s="173" t="n">
        <v>5</v>
      </c>
      <c r="I234" s="148" t="n">
        <v>1</v>
      </c>
      <c r="J234" s="148" t="n">
        <v>2</v>
      </c>
      <c r="K234" s="149" t="n">
        <v>2643</v>
      </c>
      <c r="L234" s="149" t="n">
        <f aca="false">M234+N234</f>
        <v>2643</v>
      </c>
      <c r="M234" s="149"/>
      <c r="N234" s="224" t="n">
        <v>2643</v>
      </c>
      <c r="O234" s="151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57"/>
      <c r="G235" s="152" t="s">
        <v>23</v>
      </c>
      <c r="H235" s="174" t="n">
        <v>2</v>
      </c>
      <c r="I235" s="154" t="n">
        <v>1</v>
      </c>
      <c r="J235" s="154" t="n">
        <v>1</v>
      </c>
      <c r="K235" s="155" t="n">
        <v>2325.84</v>
      </c>
      <c r="L235" s="155" t="n">
        <v>2325.84</v>
      </c>
      <c r="M235" s="155" t="n">
        <v>2325.84</v>
      </c>
      <c r="N235" s="226"/>
      <c r="O235" s="157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54"/>
      <c r="B236" s="55" t="s">
        <v>147</v>
      </c>
      <c r="C236" s="56" t="s">
        <v>20</v>
      </c>
      <c r="D236" s="56"/>
      <c r="E236" s="56" t="s">
        <v>25</v>
      </c>
      <c r="F236" s="97"/>
      <c r="G236" s="158" t="s">
        <v>22</v>
      </c>
      <c r="H236" s="159" t="n">
        <v>4</v>
      </c>
      <c r="I236" s="160" t="n">
        <v>3</v>
      </c>
      <c r="J236" s="160" t="n">
        <v>3</v>
      </c>
      <c r="K236" s="161" t="n">
        <v>2093.26</v>
      </c>
      <c r="L236" s="161" t="n">
        <f aca="false">M236+N236</f>
        <v>2093.26</v>
      </c>
      <c r="M236" s="161" t="n">
        <v>2093.26</v>
      </c>
      <c r="N236" s="190"/>
      <c r="O236" s="163" t="n">
        <v>4</v>
      </c>
      <c r="P236" s="161" t="n">
        <v>16436.74</v>
      </c>
      <c r="Q236" s="161" t="n">
        <f aca="false">R236+S236</f>
        <v>16436.74</v>
      </c>
      <c r="R236" s="161" t="n">
        <v>16436.74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54"/>
      <c r="B237" s="55"/>
      <c r="C237" s="55"/>
      <c r="D237" s="55"/>
      <c r="E237" s="55"/>
      <c r="F237" s="26" t="s">
        <v>220</v>
      </c>
      <c r="G237" s="152" t="s">
        <v>26</v>
      </c>
      <c r="H237" s="171" t="n">
        <v>12</v>
      </c>
      <c r="I237" s="154" t="n">
        <v>2</v>
      </c>
      <c r="J237" s="154" t="n">
        <v>3</v>
      </c>
      <c r="K237" s="155" t="n">
        <v>9162.4</v>
      </c>
      <c r="L237" s="189" t="n">
        <f aca="false">M237+N237</f>
        <v>4228.8</v>
      </c>
      <c r="M237" s="155" t="n">
        <f aca="false">528.6</f>
        <v>528.6</v>
      </c>
      <c r="N237" s="167" t="n">
        <v>3700.2</v>
      </c>
      <c r="O237" s="157" t="n">
        <v>5</v>
      </c>
      <c r="P237" s="155" t="n">
        <v>13038.8</v>
      </c>
      <c r="Q237" s="161" t="n">
        <f aca="false">R237+S237</f>
        <v>18677.2</v>
      </c>
      <c r="R237" s="155" t="n">
        <f aca="false">7048+528.6+5638.4+5462.2</f>
        <v>18677.2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148</v>
      </c>
      <c r="C238" s="19" t="s">
        <v>20</v>
      </c>
      <c r="D238" s="19"/>
      <c r="E238" s="19" t="s">
        <v>21</v>
      </c>
      <c r="F238" s="22"/>
      <c r="G238" s="146" t="s">
        <v>22</v>
      </c>
      <c r="H238" s="173" t="n">
        <v>2</v>
      </c>
      <c r="I238" s="148" t="n">
        <v>1</v>
      </c>
      <c r="J238" s="148" t="n">
        <v>1</v>
      </c>
      <c r="K238" s="149" t="n">
        <v>436.1</v>
      </c>
      <c r="L238" s="149" t="n">
        <f aca="false">M238+N238</f>
        <v>436.1</v>
      </c>
      <c r="M238" s="149" t="n">
        <v>436.1</v>
      </c>
      <c r="N238" s="198"/>
      <c r="O238" s="151" t="n">
        <v>1</v>
      </c>
      <c r="P238" s="149" t="n">
        <v>13232.99</v>
      </c>
      <c r="Q238" s="149" t="n">
        <f aca="false">R238+S238</f>
        <v>13232.99</v>
      </c>
      <c r="R238" s="149" t="n">
        <v>13232.99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26" t="s">
        <v>248</v>
      </c>
      <c r="G239" s="152" t="s">
        <v>23</v>
      </c>
      <c r="H239" s="171" t="n">
        <v>2</v>
      </c>
      <c r="I239" s="154"/>
      <c r="J239" s="154"/>
      <c r="K239" s="155"/>
      <c r="L239" s="155" t="n">
        <f aca="false">M239+N239</f>
        <v>0</v>
      </c>
      <c r="M239" s="155"/>
      <c r="N239" s="156"/>
      <c r="O239" s="157" t="n">
        <v>1</v>
      </c>
      <c r="P239" s="155" t="n">
        <v>572.65</v>
      </c>
      <c r="Q239" s="155" t="n">
        <v>572.65</v>
      </c>
      <c r="R239" s="155" t="n">
        <v>572.65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99"/>
      <c r="B240" s="100" t="s">
        <v>149</v>
      </c>
      <c r="C240" s="100"/>
      <c r="D240" s="100"/>
      <c r="E240" s="100"/>
      <c r="F240" s="100"/>
      <c r="G240" s="212"/>
      <c r="H240" s="213" t="n">
        <f aca="false">SUM(H9:H239)</f>
        <v>1744</v>
      </c>
      <c r="I240" s="214" t="n">
        <f aca="false">SUM(I9:I239)</f>
        <v>1051</v>
      </c>
      <c r="J240" s="214" t="n">
        <f aca="false">SUM(J9:J239)</f>
        <v>1229</v>
      </c>
      <c r="K240" s="215" t="n">
        <f aca="false">SUM(K9:K239)</f>
        <v>2000651.53</v>
      </c>
      <c r="L240" s="215" t="n">
        <f aca="false">SUM(L9:L239)</f>
        <v>1409348.48</v>
      </c>
      <c r="M240" s="215" t="n">
        <f aca="false">SUM(M9:M239)</f>
        <v>801984.5</v>
      </c>
      <c r="N240" s="243" t="n">
        <f aca="false">SUM(N9:N239)</f>
        <v>632790.99</v>
      </c>
      <c r="O240" s="244" t="n">
        <f aca="false">SUM(O9:O239)</f>
        <v>1030</v>
      </c>
      <c r="P240" s="245" t="n">
        <f aca="false">SUM(P9:P239)</f>
        <v>3367924.85</v>
      </c>
      <c r="Q240" s="245" t="n">
        <f aca="false">SUM(Q9:Q239)</f>
        <v>2891572.5</v>
      </c>
      <c r="R240" s="245" t="n">
        <f aca="false">SUM(R9:R239)</f>
        <v>2079140.4</v>
      </c>
      <c r="S240" s="246" t="n">
        <f aca="false">SUM(S9:S239)</f>
        <v>830778.1</v>
      </c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I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 t="s">
        <v>290</v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2"/>
      <c r="B244" s="2"/>
      <c r="C244" s="2"/>
      <c r="D244" s="2"/>
      <c r="E244" s="2"/>
      <c r="F244" s="103"/>
      <c r="G244" s="104" t="s">
        <v>5</v>
      </c>
      <c r="H244" s="104"/>
      <c r="I244" s="104"/>
      <c r="J244" s="104"/>
      <c r="K244" s="104"/>
      <c r="L244" s="104"/>
      <c r="M244" s="104"/>
      <c r="N244" s="104" t="s">
        <v>6</v>
      </c>
      <c r="O244" s="104"/>
      <c r="P244" s="104"/>
      <c r="Q244" s="104"/>
      <c r="R244" s="104"/>
      <c r="S244" s="105" t="s">
        <v>150</v>
      </c>
      <c r="T244" s="105" t="s">
        <v>253</v>
      </c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103"/>
      <c r="G245" s="106" t="s">
        <v>13</v>
      </c>
      <c r="H245" s="106" t="s">
        <v>14</v>
      </c>
      <c r="I245" s="106" t="s">
        <v>15</v>
      </c>
      <c r="J245" s="106" t="s">
        <v>226</v>
      </c>
      <c r="K245" s="106" t="s">
        <v>16</v>
      </c>
      <c r="L245" s="106" t="s">
        <v>17</v>
      </c>
      <c r="M245" s="106" t="s">
        <v>18</v>
      </c>
      <c r="N245" s="106" t="s">
        <v>15</v>
      </c>
      <c r="O245" s="106" t="s">
        <v>226</v>
      </c>
      <c r="P245" s="106" t="s">
        <v>16</v>
      </c>
      <c r="Q245" s="106" t="s">
        <v>17</v>
      </c>
      <c r="R245" s="106" t="s">
        <v>18</v>
      </c>
      <c r="S245" s="105"/>
      <c r="T245" s="105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107" t="s">
        <v>22</v>
      </c>
      <c r="G246" s="108" t="n">
        <f aca="false">SUMIF($G$9:$G$239,$F$246,H9:H239)</f>
        <v>1160</v>
      </c>
      <c r="H246" s="108" t="n">
        <f aca="false">SUMIF($G$9:$G$239,$F$246,I9:I239)</f>
        <v>806</v>
      </c>
      <c r="I246" s="108" t="n">
        <f aca="false">SUMIF($G$9:$G$239,$F$246,J9:J239)</f>
        <v>979</v>
      </c>
      <c r="J246" s="110" t="n">
        <f aca="false">SUMIF($G$9:$G$239,F246,$K$9:$K$239)</f>
        <v>1595267.6</v>
      </c>
      <c r="K246" s="110" t="n">
        <f aca="false">SUMIF($G$9:$G$239,$F$246,L9:L239)</f>
        <v>1200584.94</v>
      </c>
      <c r="L246" s="110" t="n">
        <f aca="false">SUMIF($G$9:$G$239,$F$246,M9:M239)</f>
        <v>699110.34</v>
      </c>
      <c r="M246" s="110" t="n">
        <f aca="false">SUMIF($G$9:$G$239,$F$246,N9:N239)</f>
        <v>501474.6</v>
      </c>
      <c r="N246" s="108" t="n">
        <f aca="false">SUMIF($G$9:$G$239,$F$246,O9:O239)</f>
        <v>692</v>
      </c>
      <c r="O246" s="110" t="n">
        <f aca="false">SUMIF($G$9:$G$239,F246,$P$9:$P$239)</f>
        <v>2698003.28</v>
      </c>
      <c r="P246" s="110" t="n">
        <f aca="false">SUMIF($G$9:$G$239,$F$246,Q9:Q239)</f>
        <v>2246451.45</v>
      </c>
      <c r="Q246" s="110" t="n">
        <f aca="false">SUMIF($G$9:$G$239,$F$246,R9:R239)</f>
        <v>1592142.56</v>
      </c>
      <c r="R246" s="110" t="n">
        <f aca="false">SUMIF($G$9:$G$239,$F$246,S9:S239)</f>
        <v>654308.89</v>
      </c>
      <c r="S246" s="110" t="n">
        <f aca="false">Q246+L246</f>
        <v>2291252.9</v>
      </c>
      <c r="T246" s="111" t="n">
        <f aca="false">J246-L246+O246-Q246</f>
        <v>2002017.98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107" t="s">
        <v>26</v>
      </c>
      <c r="G247" s="108" t="n">
        <f aca="false">SUMIF($G$9:$G$239,$F$247,H9:H239)</f>
        <v>363</v>
      </c>
      <c r="H247" s="108" t="n">
        <v>20</v>
      </c>
      <c r="I247" s="108" t="n">
        <f aca="false">SUMIF($G$9:$G$239,$F$247,J9:J239)</f>
        <v>135</v>
      </c>
      <c r="J247" s="110" t="n">
        <f aca="false">SUMIF($G$9:$G$239,F247,$K$9:$K$239)</f>
        <v>270961.62</v>
      </c>
      <c r="K247" s="110" t="n">
        <f aca="false">SUMIF($G$9:$G$239,$F$247,L9:L239)</f>
        <v>169930.01</v>
      </c>
      <c r="L247" s="110" t="n">
        <f aca="false">SUMIF($G$9:$G$239,$F$247,M9:M239)</f>
        <v>67036.03</v>
      </c>
      <c r="M247" s="110" t="n">
        <f aca="false">SUMIF($G$9:$G$239,$F$247,N9:N239)</f>
        <v>107122.78</v>
      </c>
      <c r="N247" s="108" t="n">
        <f aca="false">SUMIF($G$9:$G$239,$F$247,O9:O239)</f>
        <v>231</v>
      </c>
      <c r="O247" s="110" t="n">
        <f aca="false">SUMIF($G$9:$G$239,F247,$P$9:$P$239)</f>
        <v>445508.5</v>
      </c>
      <c r="P247" s="110" t="n">
        <f aca="false">SUMIF($G$9:$G$239,$F$247,Q9:Q239)</f>
        <v>516554.18</v>
      </c>
      <c r="Q247" s="110" t="n">
        <f aca="false">SUMIF($G$9:$G$239,$F$247,R9:R239)</f>
        <v>362835.97</v>
      </c>
      <c r="R247" s="110" t="n">
        <f aca="false">SUMIF($G$9:$G$239,$F$247,S9:S239)</f>
        <v>153718.21</v>
      </c>
      <c r="S247" s="110" t="n">
        <f aca="false">Q247+L247</f>
        <v>429872</v>
      </c>
      <c r="T247" s="111" t="n">
        <f aca="false">J247-L247+O247-Q247</f>
        <v>286598.12</v>
      </c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107" t="s">
        <v>23</v>
      </c>
      <c r="G248" s="108" t="n">
        <f aca="false">SUMIF($G$9:$G$239,$F$248,H9:H239)</f>
        <v>221</v>
      </c>
      <c r="H248" s="108" t="n">
        <f aca="false">SUMIF($G$9:$G$239,$F$248,I9:I239)</f>
        <v>115</v>
      </c>
      <c r="I248" s="108" t="n">
        <f aca="false">SUMIF($G$9:$G$239,$F$248,J9:J239)</f>
        <v>115</v>
      </c>
      <c r="J248" s="110" t="n">
        <f aca="false">SUMIF($G$9:$G$239,F248,$K$9:$K$239)</f>
        <v>134422.31</v>
      </c>
      <c r="K248" s="110" t="n">
        <f aca="false">SUMIF($G$9:$G$239,$F$248,L9:L239)</f>
        <v>38833.53</v>
      </c>
      <c r="L248" s="110" t="n">
        <f aca="false">SUMIF($G$9:$G$239,$F$248,M9:M239)</f>
        <v>35838.13</v>
      </c>
      <c r="M248" s="110" t="n">
        <f aca="false">SUMIF($G$9:$G$239,$F$248,N9:N239)</f>
        <v>24193.61</v>
      </c>
      <c r="N248" s="108" t="n">
        <f aca="false">SUMIF($G$9:$G$239,$F$248,O9:O239)</f>
        <v>107</v>
      </c>
      <c r="O248" s="110" t="n">
        <f aca="false">SUMIF($G$9:$G$239,F248,$P$9:$P$239)</f>
        <v>224413.07</v>
      </c>
      <c r="P248" s="110" t="n">
        <f aca="false">SUMIF($G$9:$G$239,$F$248,Q9:Q239)</f>
        <v>128566.87</v>
      </c>
      <c r="Q248" s="110" t="n">
        <f aca="false">SUMIF($G$9:$G$239,$F$248,R9:R239)</f>
        <v>124161.87</v>
      </c>
      <c r="R248" s="110" t="n">
        <f aca="false">SUMIF($G$9:$G$239,$F$248,S9:S239)</f>
        <v>22751</v>
      </c>
      <c r="S248" s="110" t="n">
        <f aca="false">Q248+L248</f>
        <v>160000</v>
      </c>
      <c r="T248" s="111" t="n">
        <f aca="false">J248-L248+O248-Q248</f>
        <v>198835.38</v>
      </c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16" t="n">
        <f aca="false">G248+G247+G246</f>
        <v>1744</v>
      </c>
      <c r="H249" s="216" t="n">
        <f aca="false">H248+H247+H246</f>
        <v>941</v>
      </c>
      <c r="I249" s="216" t="n">
        <f aca="false">I248+I247+I246</f>
        <v>1229</v>
      </c>
      <c r="J249" s="217" t="n">
        <f aca="false">J248+J247+J246</f>
        <v>2000651.53</v>
      </c>
      <c r="K249" s="217" t="n">
        <f aca="false">K248+K247+K246</f>
        <v>1409348.48</v>
      </c>
      <c r="L249" s="217" t="n">
        <f aca="false">L248+L247+L246</f>
        <v>801984.5</v>
      </c>
      <c r="M249" s="217" t="n">
        <f aca="false">M248+M247+M246</f>
        <v>632790.99</v>
      </c>
      <c r="N249" s="216" t="n">
        <f aca="false">N248+N247+N246</f>
        <v>1030</v>
      </c>
      <c r="O249" s="217" t="n">
        <f aca="false">O248+O247+O246</f>
        <v>3367924.85</v>
      </c>
      <c r="P249" s="217" t="n">
        <f aca="false">P248+P247+P246</f>
        <v>2891572.5</v>
      </c>
      <c r="Q249" s="217" t="n">
        <f aca="false">Q248+Q247+Q246</f>
        <v>2079140.4</v>
      </c>
      <c r="R249" s="217" t="n">
        <f aca="false">R248+R247+R246</f>
        <v>830778.1</v>
      </c>
      <c r="S249" s="217" t="n">
        <f aca="false">S248+S247+S246</f>
        <v>2881124.9</v>
      </c>
      <c r="T249" s="217" t="n">
        <f aca="false">T248+T247+T246</f>
        <v>2487451.48</v>
      </c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K283" s="236"/>
    </row>
    <row r="284" customFormat="false" ht="15" hidden="false" customHeight="false" outlineLevel="0" collapsed="false">
      <c r="K284" s="236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F310" s="0" t="s">
        <v>22</v>
      </c>
      <c r="G310" s="0" t="n">
        <v>855</v>
      </c>
      <c r="H310" s="247" t="n">
        <v>470</v>
      </c>
      <c r="I310" s="247" t="n">
        <v>533</v>
      </c>
      <c r="J310" s="0" t="n">
        <v>698634.28</v>
      </c>
      <c r="K310" s="236" t="n">
        <v>578741.37</v>
      </c>
      <c r="L310" s="0" t="n">
        <v>208301.67</v>
      </c>
      <c r="M310" s="0" t="n">
        <v>370439.7</v>
      </c>
      <c r="N310" s="0" t="n">
        <v>549</v>
      </c>
      <c r="O310" s="0" t="n">
        <v>1707859.19</v>
      </c>
      <c r="P310" s="0" t="n">
        <v>1387209.08</v>
      </c>
      <c r="Q310" s="0" t="n">
        <v>868523.33</v>
      </c>
      <c r="R310" s="0" t="n">
        <v>518685.75</v>
      </c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</sheetData>
  <mergeCells count="57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5"/>
    <mergeCell ref="B103:B105"/>
    <mergeCell ref="C103:C105"/>
    <mergeCell ref="D103:D105"/>
    <mergeCell ref="E103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7"/>
    <mergeCell ref="B135:B137"/>
    <mergeCell ref="C135:C137"/>
    <mergeCell ref="D135:D137"/>
    <mergeCell ref="E135:E137"/>
    <mergeCell ref="A138:A139"/>
    <mergeCell ref="B138:B139"/>
    <mergeCell ref="C138:C139"/>
    <mergeCell ref="D138:D139"/>
    <mergeCell ref="E138:E139"/>
    <mergeCell ref="A140:A142"/>
    <mergeCell ref="B140:B142"/>
    <mergeCell ref="C140:C142"/>
    <mergeCell ref="D140:D142"/>
    <mergeCell ref="E140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5"/>
    <mergeCell ref="B173:B175"/>
    <mergeCell ref="C173:C175"/>
    <mergeCell ref="D173:D175"/>
    <mergeCell ref="E173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B182:B183"/>
    <mergeCell ref="D182:D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F244:F245"/>
    <mergeCell ref="G244:M244"/>
    <mergeCell ref="N244:R244"/>
    <mergeCell ref="S244:S245"/>
    <mergeCell ref="T244:T24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8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21</v>
      </c>
      <c r="I11" s="160" t="n">
        <v>17</v>
      </c>
      <c r="J11" s="160" t="n">
        <v>29</v>
      </c>
      <c r="K11" s="161" t="n">
        <v>58793.86</v>
      </c>
      <c r="L11" s="161" t="n">
        <f aca="false">M11+N11</f>
        <v>28456.91</v>
      </c>
      <c r="M11" s="161" t="n">
        <v>28456.91</v>
      </c>
      <c r="N11" s="239"/>
      <c r="O11" s="151" t="n">
        <v>9</v>
      </c>
      <c r="P11" s="149" t="n">
        <v>39893.36</v>
      </c>
      <c r="Q11" s="149" t="n">
        <f aca="false">R11+S11</f>
        <v>30607.11</v>
      </c>
      <c r="R11" s="149" t="n">
        <v>30607.11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1585.8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33</v>
      </c>
      <c r="K13" s="149" t="n">
        <v>46182.72</v>
      </c>
      <c r="L13" s="149" t="n">
        <f aca="false">M13+N13</f>
        <v>38950.58</v>
      </c>
      <c r="M13" s="149" t="n">
        <v>38950.58</v>
      </c>
      <c r="N13" s="249"/>
      <c r="O13" s="228" t="n">
        <v>5</v>
      </c>
      <c r="P13" s="161" t="n">
        <v>14423.5</v>
      </c>
      <c r="Q13" s="161" t="n">
        <f aca="false">R13+S13</f>
        <v>14423.5</v>
      </c>
      <c r="R13" s="161" t="n">
        <v>14423.5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7576.6</v>
      </c>
      <c r="M14" s="155" t="n">
        <f aca="false">1938.2+5638.4</f>
        <v>7576.6</v>
      </c>
      <c r="N14" s="156"/>
      <c r="O14" s="209" t="n">
        <v>7</v>
      </c>
      <c r="P14" s="155" t="n">
        <v>11273.8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19515.9</v>
      </c>
      <c r="Q16" s="166" t="n">
        <f aca="false">R16+S16</f>
        <v>15858</v>
      </c>
      <c r="R16" s="166" t="n">
        <f aca="false">10924.4+4933.6</f>
        <v>15858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5</v>
      </c>
      <c r="I19" s="160" t="n">
        <v>1</v>
      </c>
      <c r="J19" s="160" t="n">
        <v>1</v>
      </c>
      <c r="K19" s="161" t="n">
        <v>528.6</v>
      </c>
      <c r="L19" s="161" t="n">
        <f aca="false">M19+N19</f>
        <v>0</v>
      </c>
      <c r="M19" s="161"/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5</v>
      </c>
      <c r="I20" s="154" t="n">
        <v>2</v>
      </c>
      <c r="J20" s="154" t="n">
        <v>2</v>
      </c>
      <c r="K20" s="155" t="n">
        <v>1389.4</v>
      </c>
      <c r="L20" s="155" t="n">
        <f aca="false">M20+N20</f>
        <v>704.8</v>
      </c>
      <c r="M20" s="155" t="n">
        <f aca="false">704.8</f>
        <v>704.8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19</v>
      </c>
      <c r="I21" s="160" t="n">
        <v>12</v>
      </c>
      <c r="J21" s="160" t="n">
        <v>13</v>
      </c>
      <c r="K21" s="161" t="n">
        <v>15346.27</v>
      </c>
      <c r="L21" s="161" t="n">
        <f aca="false">M21+N21</f>
        <v>14830.79</v>
      </c>
      <c r="M21" s="161" t="n">
        <v>4012.08</v>
      </c>
      <c r="N21" s="190" t="n">
        <v>10818.71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17766.28</v>
      </c>
      <c r="S21" s="190" t="n">
        <v>25813.94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1</v>
      </c>
      <c r="J22" s="154" t="n">
        <v>1</v>
      </c>
      <c r="K22" s="155" t="n">
        <v>1762</v>
      </c>
      <c r="L22" s="155" t="n">
        <f aca="false">M22+N22</f>
        <v>0</v>
      </c>
      <c r="M22" s="155"/>
      <c r="N22" s="156"/>
      <c r="O22" s="157" t="n">
        <v>3</v>
      </c>
      <c r="P22" s="155"/>
      <c r="Q22" s="155" t="n">
        <f aca="false">R22+S22</f>
        <v>0</v>
      </c>
      <c r="R22" s="155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24</v>
      </c>
      <c r="I23" s="160" t="n">
        <v>17</v>
      </c>
      <c r="J23" s="160" t="n">
        <v>28</v>
      </c>
      <c r="K23" s="161" t="n">
        <v>37859.19</v>
      </c>
      <c r="L23" s="161" t="n">
        <f aca="false">M23+N23</f>
        <v>36599.36</v>
      </c>
      <c r="M23" s="161" t="n">
        <v>28289.78</v>
      </c>
      <c r="N23" s="190" t="n">
        <v>8309.58</v>
      </c>
      <c r="O23" s="151" t="n">
        <v>22</v>
      </c>
      <c r="P23" s="149" t="n">
        <v>47120.13</v>
      </c>
      <c r="Q23" s="149" t="n">
        <f aca="false">R23+S23</f>
        <v>47120.13</v>
      </c>
      <c r="R23" s="149" t="n">
        <v>29366.23</v>
      </c>
      <c r="S23" s="198" t="n">
        <v>17753.9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22</v>
      </c>
      <c r="I25" s="148" t="n">
        <v>16</v>
      </c>
      <c r="J25" s="148" t="n">
        <v>16</v>
      </c>
      <c r="K25" s="148" t="n">
        <v>6074.42</v>
      </c>
      <c r="L25" s="149" t="n">
        <f aca="false">M25+N25</f>
        <v>4140.7</v>
      </c>
      <c r="M25" s="149" t="n">
        <v>4140.7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4</v>
      </c>
      <c r="J26" s="154" t="n">
        <v>4</v>
      </c>
      <c r="K26" s="155" t="n">
        <v>6932.6</v>
      </c>
      <c r="L26" s="155" t="n">
        <f aca="false">M26+N26</f>
        <v>0</v>
      </c>
      <c r="M26" s="155"/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24</v>
      </c>
      <c r="I27" s="160" t="n">
        <v>23</v>
      </c>
      <c r="J27" s="160" t="n">
        <v>34</v>
      </c>
      <c r="K27" s="161" t="n">
        <v>61334.34</v>
      </c>
      <c r="L27" s="161" t="n">
        <f aca="false">M27+N27</f>
        <v>43954.53</v>
      </c>
      <c r="M27" s="161" t="n">
        <v>34121.16</v>
      </c>
      <c r="N27" s="190" t="n">
        <v>9833.37</v>
      </c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5</v>
      </c>
      <c r="I28" s="165" t="n">
        <v>3</v>
      </c>
      <c r="J28" s="165" t="n">
        <v>3</v>
      </c>
      <c r="K28" s="166" t="n">
        <v>2114.4</v>
      </c>
      <c r="L28" s="166" t="n">
        <f aca="false">M28+N28</f>
        <v>1409.6</v>
      </c>
      <c r="M28" s="166" t="n">
        <f aca="false">1409.6</f>
        <v>1409.6</v>
      </c>
      <c r="N28" s="156"/>
      <c r="O28" s="157" t="n">
        <v>12</v>
      </c>
      <c r="P28" s="155" t="n">
        <v>19558.2</v>
      </c>
      <c r="Q28" s="155" t="n">
        <f aca="false">R28+S28</f>
        <v>28368.2</v>
      </c>
      <c r="R28" s="155" t="n">
        <f aca="false">2995.4+14272.2+11100.6</f>
        <v>28368.2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/>
      <c r="N29" s="190" t="n">
        <v>1550.56</v>
      </c>
      <c r="O29" s="151" t="n">
        <v>4</v>
      </c>
      <c r="P29" s="149" t="n">
        <v>14655.02</v>
      </c>
      <c r="Q29" s="149" t="n">
        <f aca="false">R29+S29</f>
        <v>14655.02</v>
      </c>
      <c r="R29" s="149" t="n">
        <v>6373.62</v>
      </c>
      <c r="S29" s="198" t="n">
        <v>8281.4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19381.4</v>
      </c>
      <c r="Q30" s="166" t="n">
        <f aca="false">R30+S30</f>
        <v>17267.7</v>
      </c>
      <c r="R30" s="166" t="n">
        <f aca="false">5286+2290.6-23.95+9715.05</f>
        <v>17267.7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/>
      <c r="N33" s="190" t="n">
        <v>4864.84</v>
      </c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1</v>
      </c>
      <c r="J34" s="165" t="n">
        <v>1</v>
      </c>
      <c r="K34" s="166" t="n">
        <v>2114.4</v>
      </c>
      <c r="L34" s="166" t="n">
        <f aca="false">M34+N34</f>
        <v>0</v>
      </c>
      <c r="M34" s="166"/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1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14</v>
      </c>
      <c r="I37" s="160" t="n">
        <v>10</v>
      </c>
      <c r="J37" s="160" t="n">
        <v>11</v>
      </c>
      <c r="K37" s="161" t="n">
        <v>20211.1</v>
      </c>
      <c r="L37" s="161" t="n">
        <f aca="false">M37+N37</f>
        <v>16153.14</v>
      </c>
      <c r="M37" s="161" t="n">
        <v>881</v>
      </c>
      <c r="N37" s="190" t="n">
        <v>15272.14</v>
      </c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7</v>
      </c>
      <c r="I38" s="154" t="n">
        <v>3</v>
      </c>
      <c r="J38" s="154" t="n">
        <v>3</v>
      </c>
      <c r="K38" s="155" t="n">
        <v>6343.2</v>
      </c>
      <c r="L38" s="155" t="n">
        <f aca="false">M38+N38</f>
        <v>5109.8</v>
      </c>
      <c r="M38" s="155" t="n">
        <f aca="false">704.8+4405</f>
        <v>5109.8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13</v>
      </c>
      <c r="J41" s="160" t="n">
        <v>16</v>
      </c>
      <c r="K41" s="161" t="n">
        <v>30817</v>
      </c>
      <c r="L41" s="161" t="n">
        <f aca="false">M41+N41</f>
        <v>18145.63</v>
      </c>
      <c r="M41" s="161" t="n">
        <v>9138.09</v>
      </c>
      <c r="N41" s="190" t="n">
        <v>9007.54</v>
      </c>
      <c r="O41" s="151" t="n">
        <v>10</v>
      </c>
      <c r="P41" s="149" t="n">
        <v>39637.95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13567.4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13</v>
      </c>
      <c r="I43" s="160" t="n">
        <v>11</v>
      </c>
      <c r="J43" s="160" t="n">
        <v>14</v>
      </c>
      <c r="K43" s="161" t="n">
        <v>33480.29</v>
      </c>
      <c r="L43" s="161" t="n">
        <f aca="false">M43+N43</f>
        <v>27872.38</v>
      </c>
      <c r="M43" s="161" t="n">
        <v>24384.94</v>
      </c>
      <c r="N43" s="190" t="n">
        <v>3487.44</v>
      </c>
      <c r="O43" s="151" t="n">
        <v>16</v>
      </c>
      <c r="P43" s="149" t="n">
        <v>56737.45</v>
      </c>
      <c r="Q43" s="149" t="n">
        <f aca="false">R43+S43</f>
        <v>55419.47</v>
      </c>
      <c r="R43" s="149" t="n">
        <v>54101.49</v>
      </c>
      <c r="S43" s="198" t="n">
        <v>1317.98</v>
      </c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6</v>
      </c>
      <c r="J45" s="148" t="n">
        <v>6</v>
      </c>
      <c r="K45" s="149" t="n">
        <v>3730.57</v>
      </c>
      <c r="L45" s="149" t="n">
        <f aca="false">M45+N45</f>
        <v>2119.69</v>
      </c>
      <c r="M45" s="149" t="n">
        <v>2119.69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3</v>
      </c>
      <c r="P46" s="166" t="n">
        <v>13945.3</v>
      </c>
      <c r="Q46" s="166" t="n">
        <f aca="false">R46+S46</f>
        <v>10849.9</v>
      </c>
      <c r="R46" s="166" t="n">
        <f aca="false">10849.9</f>
        <v>10849.9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3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f aca="false">1233.4</f>
        <v>1233.4</v>
      </c>
      <c r="N48" s="156"/>
      <c r="O48" s="157" t="n">
        <v>4</v>
      </c>
      <c r="P48" s="155" t="n">
        <v>11981.6</v>
      </c>
      <c r="Q48" s="155" t="n">
        <f aca="false">R48+S48</f>
        <v>13567.4</v>
      </c>
      <c r="R48" s="155" t="n">
        <f aca="false">528.6+11453+1585.8</f>
        <v>13567.4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 t="n">
        <v>5976.7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50</v>
      </c>
      <c r="I53" s="148" t="n">
        <v>45</v>
      </c>
      <c r="J53" s="148" t="n">
        <v>45</v>
      </c>
      <c r="K53" s="149" t="n">
        <v>42999.32</v>
      </c>
      <c r="L53" s="149" t="n">
        <f aca="false">M53+N53</f>
        <v>39470.47</v>
      </c>
      <c r="M53" s="149" t="n">
        <v>34720.47</v>
      </c>
      <c r="N53" s="190" t="n">
        <v>4750</v>
      </c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4</v>
      </c>
      <c r="I54" s="154" t="n">
        <v>3</v>
      </c>
      <c r="J54" s="154" t="n">
        <v>3</v>
      </c>
      <c r="K54" s="155" t="n">
        <v>15858</v>
      </c>
      <c r="L54" s="155" t="n">
        <f aca="false">M54+N54</f>
        <v>1409.6</v>
      </c>
      <c r="M54" s="155" t="n">
        <f aca="false">1409.6</f>
        <v>1409.6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24</v>
      </c>
      <c r="I55" s="160" t="n">
        <v>13</v>
      </c>
      <c r="J55" s="160" t="n">
        <v>17</v>
      </c>
      <c r="K55" s="161" t="n">
        <v>30660.61</v>
      </c>
      <c r="L55" s="161" t="n">
        <f aca="false">M55+N55</f>
        <v>28323.14</v>
      </c>
      <c r="M55" s="161" t="n">
        <v>19287.25</v>
      </c>
      <c r="N55" s="190" t="n">
        <v>9035.89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47845.54</v>
      </c>
      <c r="S55" s="198" t="n">
        <v>27796.17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4</v>
      </c>
      <c r="I57" s="160" t="n">
        <v>2</v>
      </c>
      <c r="J57" s="160" t="n">
        <v>2</v>
      </c>
      <c r="K57" s="161" t="n">
        <v>2563.71</v>
      </c>
      <c r="L57" s="161" t="n">
        <f aca="false">M57+N57</f>
        <v>0</v>
      </c>
      <c r="M57" s="161"/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1" t="n">
        <v>4</v>
      </c>
      <c r="I58" s="165" t="n">
        <v>1</v>
      </c>
      <c r="J58" s="165" t="n">
        <v>1</v>
      </c>
      <c r="K58" s="166" t="n">
        <v>1057.2</v>
      </c>
      <c r="L58" s="161" t="n">
        <f aca="false">M58+N58</f>
        <v>1057.2</v>
      </c>
      <c r="M58" s="166" t="n">
        <f aca="false">1057.2</f>
        <v>1057.2</v>
      </c>
      <c r="N58" s="156"/>
      <c r="O58" s="168" t="n">
        <v>8</v>
      </c>
      <c r="P58" s="166" t="n">
        <v>14217.29</v>
      </c>
      <c r="Q58" s="161" t="n">
        <f aca="false">R58+S58</f>
        <v>18120.69</v>
      </c>
      <c r="R58" s="166" t="n">
        <f aca="false">1409.6+3672.29+13038.8</f>
        <v>18120.69</v>
      </c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56</v>
      </c>
      <c r="C59" s="19" t="s">
        <v>33</v>
      </c>
      <c r="D59" s="19" t="s">
        <v>57</v>
      </c>
      <c r="E59" s="19" t="s">
        <v>25</v>
      </c>
      <c r="F59" s="20"/>
      <c r="G59" s="146" t="s">
        <v>22</v>
      </c>
      <c r="H59" s="159" t="n">
        <v>7</v>
      </c>
      <c r="I59" s="148"/>
      <c r="J59" s="148"/>
      <c r="K59" s="149"/>
      <c r="L59" s="149" t="n">
        <f aca="false">M59+N59</f>
        <v>0</v>
      </c>
      <c r="M59" s="149"/>
      <c r="N59" s="190"/>
      <c r="O59" s="151" t="n">
        <v>11</v>
      </c>
      <c r="P59" s="149" t="n">
        <v>43131.21</v>
      </c>
      <c r="Q59" s="149" t="n">
        <f aca="false">R59+S59</f>
        <v>43131.21</v>
      </c>
      <c r="R59" s="149" t="n">
        <v>43131.21</v>
      </c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42"/>
      <c r="G60" s="164" t="s">
        <v>26</v>
      </c>
      <c r="H60" s="175" t="n">
        <v>4</v>
      </c>
      <c r="I60" s="165" t="n">
        <v>2</v>
      </c>
      <c r="J60" s="165" t="n">
        <v>2</v>
      </c>
      <c r="K60" s="166" t="n">
        <v>2209.2</v>
      </c>
      <c r="L60" s="166" t="n">
        <f aca="false">M60+N60</f>
        <v>0</v>
      </c>
      <c r="M60" s="166"/>
      <c r="N60" s="156"/>
      <c r="O60" s="168" t="n">
        <v>5</v>
      </c>
      <c r="P60" s="166"/>
      <c r="Q60" s="166" t="n">
        <f aca="false">R60+S60</f>
        <v>4249</v>
      </c>
      <c r="R60" s="166" t="n">
        <f aca="false">4249</f>
        <v>4249</v>
      </c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266</v>
      </c>
      <c r="C61" s="19" t="s">
        <v>20</v>
      </c>
      <c r="D61" s="19"/>
      <c r="E61" s="19" t="s">
        <v>267</v>
      </c>
      <c r="F61" s="20"/>
      <c r="G61" s="146" t="s">
        <v>22</v>
      </c>
      <c r="H61" s="173" t="n">
        <v>2</v>
      </c>
      <c r="I61" s="148" t="n">
        <v>1</v>
      </c>
      <c r="J61" s="148" t="n">
        <v>1</v>
      </c>
      <c r="K61" s="149" t="n">
        <v>528.6</v>
      </c>
      <c r="L61" s="149" t="n">
        <f aca="false">M61+N61</f>
        <v>0</v>
      </c>
      <c r="M61" s="149"/>
      <c r="N61" s="190"/>
      <c r="O61" s="206"/>
      <c r="P61" s="149"/>
      <c r="Q61" s="149" t="n">
        <f aca="false">R61+S61</f>
        <v>0</v>
      </c>
      <c r="R61" s="149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26" t="s">
        <v>268</v>
      </c>
      <c r="G62" s="152" t="s">
        <v>26</v>
      </c>
      <c r="H62" s="174" t="n">
        <v>6</v>
      </c>
      <c r="I62" s="154" t="n">
        <v>3</v>
      </c>
      <c r="J62" s="154" t="n">
        <v>3</v>
      </c>
      <c r="K62" s="155" t="n">
        <v>5286</v>
      </c>
      <c r="L62" s="155" t="n">
        <f aca="false">M62+N62</f>
        <v>5286</v>
      </c>
      <c r="M62" s="155" t="n">
        <f aca="false">5286</f>
        <v>5286</v>
      </c>
      <c r="N62" s="156"/>
      <c r="O62" s="209"/>
      <c r="P62" s="155"/>
      <c r="Q62" s="155" t="n">
        <f aca="false">R62+S62</f>
        <v>0</v>
      </c>
      <c r="R62" s="155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54"/>
      <c r="B63" s="55" t="s">
        <v>155</v>
      </c>
      <c r="C63" s="56"/>
      <c r="D63" s="56"/>
      <c r="E63" s="56"/>
      <c r="F63" s="36"/>
      <c r="G63" s="158" t="s">
        <v>22</v>
      </c>
      <c r="H63" s="159" t="n">
        <v>14</v>
      </c>
      <c r="I63" s="160" t="n">
        <v>13</v>
      </c>
      <c r="J63" s="160" t="n">
        <v>16</v>
      </c>
      <c r="K63" s="161" t="n">
        <v>31832.71</v>
      </c>
      <c r="L63" s="161" t="n">
        <f aca="false">M63+N63</f>
        <v>13482.82</v>
      </c>
      <c r="M63" s="161" t="n">
        <v>13482.82</v>
      </c>
      <c r="N63" s="190"/>
      <c r="O63" s="163"/>
      <c r="P63" s="161"/>
      <c r="Q63" s="161" t="n">
        <f aca="false">R63+S63</f>
        <v>0</v>
      </c>
      <c r="R63" s="161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54"/>
      <c r="B64" s="55"/>
      <c r="C64" s="55"/>
      <c r="D64" s="55"/>
      <c r="E64" s="55"/>
      <c r="F64" s="71"/>
      <c r="G64" s="164" t="s">
        <v>26</v>
      </c>
      <c r="H64" s="177"/>
      <c r="I64" s="165"/>
      <c r="J64" s="165"/>
      <c r="K64" s="166"/>
      <c r="L64" s="166" t="n">
        <f aca="false">M64+N64</f>
        <v>0</v>
      </c>
      <c r="M64" s="166"/>
      <c r="N64" s="156"/>
      <c r="O64" s="168"/>
      <c r="P64" s="166"/>
      <c r="Q64" s="166" t="n">
        <f aca="false">R64+S64</f>
        <v>0</v>
      </c>
      <c r="R64" s="166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17"/>
      <c r="B65" s="18" t="s">
        <v>221</v>
      </c>
      <c r="C65" s="19" t="s">
        <v>20</v>
      </c>
      <c r="D65" s="19"/>
      <c r="E65" s="19" t="s">
        <v>278</v>
      </c>
      <c r="F65" s="20"/>
      <c r="G65" s="146" t="s">
        <v>22</v>
      </c>
      <c r="H65" s="173" t="n">
        <v>11</v>
      </c>
      <c r="I65" s="148" t="n">
        <v>2</v>
      </c>
      <c r="J65" s="148" t="n">
        <v>2</v>
      </c>
      <c r="K65" s="149" t="n">
        <v>5127.42</v>
      </c>
      <c r="L65" s="149" t="n">
        <f aca="false">M65+N65</f>
        <v>3717.82</v>
      </c>
      <c r="M65" s="149" t="n">
        <v>3717.82</v>
      </c>
      <c r="N65" s="190"/>
      <c r="O65" s="151"/>
      <c r="P65" s="149"/>
      <c r="Q65" s="149" t="n">
        <f aca="false">R65+S65</f>
        <v>0</v>
      </c>
      <c r="R65" s="149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17"/>
      <c r="B66" s="18"/>
      <c r="C66" s="18"/>
      <c r="D66" s="18"/>
      <c r="E66" s="18"/>
      <c r="F66" s="26" t="s">
        <v>233</v>
      </c>
      <c r="G66" s="152" t="s">
        <v>23</v>
      </c>
      <c r="H66" s="174" t="n">
        <v>8</v>
      </c>
      <c r="I66" s="154" t="n">
        <v>5</v>
      </c>
      <c r="J66" s="154" t="n">
        <v>5</v>
      </c>
      <c r="K66" s="155" t="n">
        <v>4052.6</v>
      </c>
      <c r="L66" s="155" t="n">
        <f aca="false">M66+N66</f>
        <v>704.8</v>
      </c>
      <c r="M66" s="155" t="n">
        <v>704.8</v>
      </c>
      <c r="N66" s="156"/>
      <c r="O66" s="157"/>
      <c r="P66" s="155"/>
      <c r="Q66" s="155" t="n">
        <f aca="false">R66+S66</f>
        <v>0</v>
      </c>
      <c r="R66" s="155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33"/>
      <c r="B67" s="34" t="s">
        <v>58</v>
      </c>
      <c r="C67" s="35" t="s">
        <v>20</v>
      </c>
      <c r="D67" s="35"/>
      <c r="E67" s="35" t="s">
        <v>52</v>
      </c>
      <c r="F67" s="36"/>
      <c r="G67" s="158" t="s">
        <v>22</v>
      </c>
      <c r="H67" s="159" t="n">
        <v>11</v>
      </c>
      <c r="I67" s="160" t="n">
        <v>7</v>
      </c>
      <c r="J67" s="160" t="n">
        <v>12</v>
      </c>
      <c r="K67" s="161" t="n">
        <v>21739.72</v>
      </c>
      <c r="L67" s="161" t="n">
        <f aca="false">M67+N67</f>
        <v>16500.69</v>
      </c>
      <c r="M67" s="161" t="n">
        <v>16500.69</v>
      </c>
      <c r="N67" s="190"/>
      <c r="O67" s="163" t="n">
        <v>10</v>
      </c>
      <c r="P67" s="161" t="n">
        <v>62059.28</v>
      </c>
      <c r="Q67" s="161" t="n">
        <f aca="false">R67+S67</f>
        <v>62059.28</v>
      </c>
      <c r="R67" s="161" t="n">
        <v>62059.28</v>
      </c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71"/>
      <c r="G68" s="164" t="s">
        <v>26</v>
      </c>
      <c r="H68" s="175"/>
      <c r="I68" s="165"/>
      <c r="J68" s="165"/>
      <c r="K68" s="166"/>
      <c r="L68" s="166" t="n">
        <f aca="false">M68+N68</f>
        <v>0</v>
      </c>
      <c r="M68" s="166"/>
      <c r="N68" s="156"/>
      <c r="O68" s="168"/>
      <c r="P68" s="166"/>
      <c r="Q68" s="166" t="n">
        <f aca="false">R68+S68</f>
        <v>0</v>
      </c>
      <c r="R68" s="166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17"/>
      <c r="B69" s="18" t="s">
        <v>269</v>
      </c>
      <c r="C69" s="19"/>
      <c r="D69" s="49"/>
      <c r="E69" s="19"/>
      <c r="F69" s="22"/>
      <c r="G69" s="146" t="s">
        <v>22</v>
      </c>
      <c r="H69" s="147" t="n">
        <v>11</v>
      </c>
      <c r="I69" s="148" t="n">
        <v>9</v>
      </c>
      <c r="J69" s="148" t="n">
        <v>9</v>
      </c>
      <c r="K69" s="149" t="n">
        <v>20127.9</v>
      </c>
      <c r="L69" s="149" t="n">
        <f aca="false">M69+N69</f>
        <v>14798.19</v>
      </c>
      <c r="M69" s="149"/>
      <c r="N69" s="190" t="n">
        <v>14798.19</v>
      </c>
      <c r="O69" s="206"/>
      <c r="P69" s="149"/>
      <c r="Q69" s="149" t="n">
        <f aca="false">R69+S69</f>
        <v>0</v>
      </c>
      <c r="R69" s="149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17"/>
      <c r="B70" s="18"/>
      <c r="C70" s="18"/>
      <c r="D70" s="18"/>
      <c r="E70" s="18"/>
      <c r="F70" s="26"/>
      <c r="G70" s="152" t="s">
        <v>26</v>
      </c>
      <c r="H70" s="176"/>
      <c r="I70" s="154"/>
      <c r="J70" s="154"/>
      <c r="K70" s="155"/>
      <c r="L70" s="155" t="n">
        <f aca="false">M70+N70</f>
        <v>0</v>
      </c>
      <c r="M70" s="155"/>
      <c r="N70" s="156"/>
      <c r="O70" s="209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54"/>
      <c r="B71" s="55" t="s">
        <v>222</v>
      </c>
      <c r="C71" s="56" t="s">
        <v>20</v>
      </c>
      <c r="D71" s="78"/>
      <c r="E71" s="56" t="s">
        <v>279</v>
      </c>
      <c r="F71" s="38"/>
      <c r="G71" s="158" t="s">
        <v>22</v>
      </c>
      <c r="H71" s="169" t="n">
        <v>25</v>
      </c>
      <c r="I71" s="160" t="n">
        <v>20</v>
      </c>
      <c r="J71" s="160" t="n">
        <v>23</v>
      </c>
      <c r="K71" s="161" t="n">
        <v>61221.69</v>
      </c>
      <c r="L71" s="161" t="n">
        <f aca="false">M71+N71</f>
        <v>3383.04</v>
      </c>
      <c r="M71" s="161" t="n">
        <v>3383.04</v>
      </c>
      <c r="N71" s="190"/>
      <c r="O71" s="163"/>
      <c r="P71" s="161"/>
      <c r="Q71" s="161" t="n">
        <f aca="false">R71+S71</f>
        <v>0</v>
      </c>
      <c r="R71" s="161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54"/>
      <c r="B72" s="55"/>
      <c r="C72" s="55"/>
      <c r="D72" s="55"/>
      <c r="E72" s="55"/>
      <c r="F72" s="42" t="s">
        <v>234</v>
      </c>
      <c r="G72" s="164" t="s">
        <v>23</v>
      </c>
      <c r="H72" s="178" t="n">
        <v>4</v>
      </c>
      <c r="I72" s="165" t="n">
        <v>1</v>
      </c>
      <c r="J72" s="165" t="n">
        <v>1</v>
      </c>
      <c r="K72" s="166" t="n">
        <v>1012.55</v>
      </c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17"/>
      <c r="B73" s="18" t="s">
        <v>249</v>
      </c>
      <c r="C73" s="19"/>
      <c r="D73" s="49"/>
      <c r="E73" s="19"/>
      <c r="F73" s="22"/>
      <c r="G73" s="146" t="s">
        <v>22</v>
      </c>
      <c r="H73" s="147"/>
      <c r="I73" s="148"/>
      <c r="J73" s="148"/>
      <c r="K73" s="149"/>
      <c r="L73" s="149" t="n">
        <f aca="false">M73+N73</f>
        <v>0</v>
      </c>
      <c r="M73" s="149"/>
      <c r="N73" s="190"/>
      <c r="O73" s="206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17"/>
      <c r="B74" s="18"/>
      <c r="C74" s="18"/>
      <c r="D74" s="18"/>
      <c r="E74" s="18"/>
      <c r="F74" s="250" t="s">
        <v>250</v>
      </c>
      <c r="G74" s="152" t="s">
        <v>26</v>
      </c>
      <c r="H74" s="176" t="n">
        <v>5</v>
      </c>
      <c r="I74" s="154" t="n">
        <v>1</v>
      </c>
      <c r="J74" s="154" t="n">
        <v>1</v>
      </c>
      <c r="K74" s="155" t="n">
        <v>2577.4</v>
      </c>
      <c r="L74" s="155" t="n">
        <f aca="false">M74+N74</f>
        <v>0</v>
      </c>
      <c r="M74" s="155"/>
      <c r="N74" s="156"/>
      <c r="O74" s="209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33"/>
      <c r="B75" s="34" t="s">
        <v>59</v>
      </c>
      <c r="C75" s="35" t="s">
        <v>20</v>
      </c>
      <c r="D75" s="95"/>
      <c r="E75" s="35" t="s">
        <v>25</v>
      </c>
      <c r="F75" s="38"/>
      <c r="G75" s="158" t="s">
        <v>22</v>
      </c>
      <c r="H75" s="169"/>
      <c r="I75" s="160"/>
      <c r="J75" s="160"/>
      <c r="K75" s="161"/>
      <c r="L75" s="161" t="n">
        <f aca="false">M75+N75</f>
        <v>0</v>
      </c>
      <c r="M75" s="161"/>
      <c r="N75" s="190"/>
      <c r="O75" s="163"/>
      <c r="P75" s="161"/>
      <c r="Q75" s="161" t="n">
        <f aca="false">R75+S75</f>
        <v>0</v>
      </c>
      <c r="R75" s="161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34"/>
      <c r="E76" s="34"/>
      <c r="F76" s="71"/>
      <c r="G76" s="164" t="s">
        <v>26</v>
      </c>
      <c r="H76" s="153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17"/>
      <c r="B77" s="18" t="s">
        <v>60</v>
      </c>
      <c r="C77" s="19" t="s">
        <v>20</v>
      </c>
      <c r="D77" s="19"/>
      <c r="E77" s="19" t="s">
        <v>21</v>
      </c>
      <c r="F77" s="22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1046.63</v>
      </c>
      <c r="L77" s="149" t="n">
        <f aca="false">M77+N77</f>
        <v>1046.63</v>
      </c>
      <c r="M77" s="149" t="n">
        <v>1046.63</v>
      </c>
      <c r="N77" s="190"/>
      <c r="O77" s="151" t="n">
        <v>2</v>
      </c>
      <c r="P77" s="149" t="n">
        <v>3855.96</v>
      </c>
      <c r="Q77" s="149" t="n">
        <f aca="false">R77+S77</f>
        <v>3855.96</v>
      </c>
      <c r="R77" s="149" t="n">
        <v>3855.96</v>
      </c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71"/>
      <c r="G78" s="164" t="s">
        <v>23</v>
      </c>
      <c r="H78" s="175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17"/>
      <c r="B79" s="18" t="s">
        <v>223</v>
      </c>
      <c r="C79" s="19" t="s">
        <v>33</v>
      </c>
      <c r="D79" s="19" t="s">
        <v>280</v>
      </c>
      <c r="E79" s="19" t="s">
        <v>259</v>
      </c>
      <c r="F79" s="20"/>
      <c r="G79" s="146" t="s">
        <v>22</v>
      </c>
      <c r="H79" s="173" t="n">
        <v>13</v>
      </c>
      <c r="I79" s="148" t="n">
        <v>4</v>
      </c>
      <c r="J79" s="148" t="n">
        <v>4</v>
      </c>
      <c r="K79" s="149" t="n">
        <v>24532.79</v>
      </c>
      <c r="L79" s="149" t="n">
        <f aca="false">M79+N79</f>
        <v>5039.32</v>
      </c>
      <c r="M79" s="149" t="n">
        <v>5039.32</v>
      </c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26" t="s">
        <v>235</v>
      </c>
      <c r="G80" s="152" t="s">
        <v>23</v>
      </c>
      <c r="H80" s="174" t="n">
        <v>24</v>
      </c>
      <c r="I80" s="154" t="n">
        <v>13</v>
      </c>
      <c r="J80" s="154" t="n">
        <v>13</v>
      </c>
      <c r="K80" s="155" t="n">
        <v>15828.92</v>
      </c>
      <c r="L80" s="155" t="n">
        <v>11057.72</v>
      </c>
      <c r="M80" s="155" t="n">
        <v>11057.72</v>
      </c>
      <c r="N80" s="156"/>
      <c r="O80" s="157"/>
      <c r="P80" s="155"/>
      <c r="Q80" s="155" t="n">
        <f aca="false">R80+S80</f>
        <v>0</v>
      </c>
      <c r="R80" s="155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33"/>
      <c r="B81" s="34" t="s">
        <v>61</v>
      </c>
      <c r="C81" s="35" t="s">
        <v>33</v>
      </c>
      <c r="D81" s="56" t="s">
        <v>62</v>
      </c>
      <c r="E81" s="35" t="s">
        <v>25</v>
      </c>
      <c r="F81" s="36"/>
      <c r="G81" s="158" t="s">
        <v>22</v>
      </c>
      <c r="H81" s="159" t="n">
        <v>5</v>
      </c>
      <c r="I81" s="160" t="n">
        <v>3</v>
      </c>
      <c r="J81" s="160" t="n">
        <v>3</v>
      </c>
      <c r="K81" s="161" t="n">
        <v>4510.72</v>
      </c>
      <c r="L81" s="161" t="n">
        <f aca="false">M81+N81</f>
        <v>4510.72</v>
      </c>
      <c r="M81" s="161" t="n">
        <v>4510.72</v>
      </c>
      <c r="N81" s="190"/>
      <c r="O81" s="163" t="n">
        <v>1</v>
      </c>
      <c r="P81" s="161" t="n">
        <v>5123.54</v>
      </c>
      <c r="Q81" s="161" t="n">
        <f aca="false">R81+S81</f>
        <v>5123.54</v>
      </c>
      <c r="R81" s="161" t="n">
        <v>5123.54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33"/>
      <c r="B82" s="34"/>
      <c r="C82" s="34"/>
      <c r="D82" s="56"/>
      <c r="E82" s="35"/>
      <c r="F82" s="42" t="s">
        <v>173</v>
      </c>
      <c r="G82" s="164" t="s">
        <v>26</v>
      </c>
      <c r="H82" s="153" t="n">
        <v>4</v>
      </c>
      <c r="I82" s="165" t="n">
        <v>3</v>
      </c>
      <c r="J82" s="165" t="n">
        <v>3</v>
      </c>
      <c r="K82" s="166" t="n">
        <v>2643</v>
      </c>
      <c r="L82" s="166" t="n">
        <f aca="false">M82+N82</f>
        <v>2643</v>
      </c>
      <c r="M82" s="166" t="n">
        <f aca="false">704.8+1938.2</f>
        <v>2643</v>
      </c>
      <c r="N82" s="156"/>
      <c r="O82" s="168" t="n">
        <v>2</v>
      </c>
      <c r="P82" s="166" t="n">
        <v>3171.6</v>
      </c>
      <c r="Q82" s="166" t="n">
        <f aca="false">R82+S82</f>
        <v>2907.3</v>
      </c>
      <c r="R82" s="166" t="n">
        <f aca="false">2907.3</f>
        <v>2907.3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72"/>
      <c r="B83" s="73" t="s">
        <v>63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8</v>
      </c>
      <c r="I83" s="148" t="n">
        <v>4</v>
      </c>
      <c r="J83" s="148" t="n">
        <v>5</v>
      </c>
      <c r="K83" s="149" t="n">
        <v>6604.02</v>
      </c>
      <c r="L83" s="149" t="n">
        <f aca="false">M83+N83</f>
        <v>5720.34</v>
      </c>
      <c r="M83" s="149" t="n">
        <v>1162.92</v>
      </c>
      <c r="N83" s="190" t="n">
        <v>4557.42</v>
      </c>
      <c r="O83" s="151" t="n">
        <v>9</v>
      </c>
      <c r="P83" s="149" t="n">
        <v>28668.15</v>
      </c>
      <c r="Q83" s="149" t="n">
        <f aca="false">R83+S83</f>
        <v>28668.15</v>
      </c>
      <c r="R83" s="149" t="n">
        <v>28069.07</v>
      </c>
      <c r="S83" s="190" t="n">
        <v>599.08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42" t="s">
        <v>174</v>
      </c>
      <c r="G84" s="164" t="s">
        <v>26</v>
      </c>
      <c r="H84" s="153" t="n">
        <v>7</v>
      </c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72"/>
      <c r="B85" s="73" t="s">
        <v>64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</v>
      </c>
      <c r="I85" s="148" t="n">
        <v>1</v>
      </c>
      <c r="J85" s="148" t="n">
        <v>1</v>
      </c>
      <c r="K85" s="149" t="n">
        <v>1212.02</v>
      </c>
      <c r="L85" s="149" t="n">
        <f aca="false">M85+N85</f>
        <v>0</v>
      </c>
      <c r="M85" s="149"/>
      <c r="N85" s="190"/>
      <c r="O85" s="151"/>
      <c r="P85" s="149"/>
      <c r="Q85" s="149" t="n">
        <f aca="false">R85+S85</f>
        <v>0</v>
      </c>
      <c r="R85" s="149"/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71"/>
      <c r="G86" s="164" t="s">
        <v>26</v>
      </c>
      <c r="H86" s="153"/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17"/>
      <c r="B87" s="18" t="s">
        <v>65</v>
      </c>
      <c r="C87" s="19" t="s">
        <v>33</v>
      </c>
      <c r="D87" s="19" t="s">
        <v>66</v>
      </c>
      <c r="E87" s="19" t="s">
        <v>67</v>
      </c>
      <c r="F87" s="20"/>
      <c r="G87" s="146" t="s">
        <v>22</v>
      </c>
      <c r="H87" s="159" t="n">
        <v>8</v>
      </c>
      <c r="I87" s="148" t="n">
        <v>6</v>
      </c>
      <c r="J87" s="148" t="n">
        <v>7</v>
      </c>
      <c r="K87" s="149" t="n">
        <v>8722.99</v>
      </c>
      <c r="L87" s="149" t="n">
        <f aca="false">M87+N87</f>
        <v>5752.93</v>
      </c>
      <c r="M87" s="149" t="n">
        <v>3057.07</v>
      </c>
      <c r="N87" s="190" t="n">
        <v>2695.86</v>
      </c>
      <c r="O87" s="151" t="n">
        <v>11</v>
      </c>
      <c r="P87" s="149" t="n">
        <v>45595.17</v>
      </c>
      <c r="Q87" s="149" t="n">
        <f aca="false">R87+S87</f>
        <v>43656.97</v>
      </c>
      <c r="R87" s="149" t="n">
        <v>14207.76</v>
      </c>
      <c r="S87" s="190" t="n">
        <v>29449.21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42" t="s">
        <v>236</v>
      </c>
      <c r="G88" s="164" t="s">
        <v>23</v>
      </c>
      <c r="H88" s="172" t="n">
        <v>35</v>
      </c>
      <c r="I88" s="165" t="n">
        <v>29</v>
      </c>
      <c r="J88" s="165" t="n">
        <v>29</v>
      </c>
      <c r="K88" s="166" t="n">
        <v>32865.6</v>
      </c>
      <c r="L88" s="166" t="n">
        <v>3524</v>
      </c>
      <c r="M88" s="166" t="n">
        <v>3524</v>
      </c>
      <c r="N88" s="156" t="n">
        <v>5814.6</v>
      </c>
      <c r="O88" s="168" t="n">
        <v>35</v>
      </c>
      <c r="P88" s="166" t="n">
        <v>72518.62</v>
      </c>
      <c r="Q88" s="166" t="n">
        <v>30232.1</v>
      </c>
      <c r="R88" s="166" t="n">
        <v>30232.1</v>
      </c>
      <c r="S88" s="156" t="n">
        <v>9162.4</v>
      </c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175</v>
      </c>
      <c r="C89" s="19"/>
      <c r="D89" s="19"/>
      <c r="E89" s="19"/>
      <c r="F89" s="137"/>
      <c r="G89" s="146" t="s">
        <v>22</v>
      </c>
      <c r="H89" s="147" t="n">
        <v>6</v>
      </c>
      <c r="I89" s="148" t="n">
        <v>4</v>
      </c>
      <c r="J89" s="148" t="n">
        <v>5</v>
      </c>
      <c r="K89" s="149" t="n">
        <v>7825.97</v>
      </c>
      <c r="L89" s="149" t="n">
        <f aca="false">M89+N89</f>
        <v>2035.11</v>
      </c>
      <c r="M89" s="149" t="n">
        <v>2035.11</v>
      </c>
      <c r="N89" s="190"/>
      <c r="O89" s="151"/>
      <c r="P89" s="149"/>
      <c r="Q89" s="149" t="n">
        <f aca="false">R89+S89</f>
        <v>0</v>
      </c>
      <c r="R89" s="149"/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" hidden="false" customHeight="false" outlineLevel="0" collapsed="false">
      <c r="A90" s="17"/>
      <c r="B90" s="18"/>
      <c r="C90" s="18"/>
      <c r="D90" s="18"/>
      <c r="E90" s="18"/>
      <c r="F90" s="89"/>
      <c r="G90" s="164" t="s">
        <v>26</v>
      </c>
      <c r="H90" s="178" t="n">
        <v>8</v>
      </c>
      <c r="I90" s="165" t="n">
        <v>4</v>
      </c>
      <c r="J90" s="165" t="n">
        <v>4</v>
      </c>
      <c r="K90" s="166" t="n">
        <v>7576.6</v>
      </c>
      <c r="L90" s="166" t="n">
        <f aca="false">M90+N90</f>
        <v>6343.23</v>
      </c>
      <c r="M90" s="166" t="n">
        <f aca="false">2290.6+4052.63</f>
        <v>6343.23</v>
      </c>
      <c r="N90" s="156"/>
      <c r="O90" s="168"/>
      <c r="P90" s="166"/>
      <c r="Q90" s="166" t="n">
        <f aca="false">R90+S90</f>
        <v>0</v>
      </c>
      <c r="R90" s="166"/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68</v>
      </c>
      <c r="C91" s="19" t="s">
        <v>20</v>
      </c>
      <c r="D91" s="19"/>
      <c r="E91" s="19" t="s">
        <v>69</v>
      </c>
      <c r="F91" s="22"/>
      <c r="G91" s="146" t="s">
        <v>22</v>
      </c>
      <c r="H91" s="147" t="n">
        <v>6</v>
      </c>
      <c r="I91" s="148" t="n">
        <v>5</v>
      </c>
      <c r="J91" s="148" t="n">
        <v>5</v>
      </c>
      <c r="K91" s="149" t="n">
        <v>13071.4</v>
      </c>
      <c r="L91" s="149" t="n">
        <f aca="false">M91+N91</f>
        <v>4786.75</v>
      </c>
      <c r="M91" s="149" t="n">
        <v>4786.75</v>
      </c>
      <c r="N91" s="190"/>
      <c r="O91" s="151" t="n">
        <v>15</v>
      </c>
      <c r="P91" s="149" t="n">
        <v>48957.86</v>
      </c>
      <c r="Q91" s="149" t="n">
        <f aca="false">R91+S91</f>
        <v>48957.86</v>
      </c>
      <c r="R91" s="149" t="n">
        <v>46890.62</v>
      </c>
      <c r="S91" s="190" t="n">
        <v>2067.24</v>
      </c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176</v>
      </c>
      <c r="G92" s="152" t="s">
        <v>26</v>
      </c>
      <c r="H92" s="153" t="n">
        <v>8</v>
      </c>
      <c r="I92" s="154" t="n">
        <v>3</v>
      </c>
      <c r="J92" s="154" t="n">
        <v>3</v>
      </c>
      <c r="K92" s="235" t="n">
        <v>5995.52</v>
      </c>
      <c r="L92" s="155" t="n">
        <f aca="false">M92+N92</f>
        <v>6096.52</v>
      </c>
      <c r="M92" s="155" t="n">
        <f aca="false">2819.2+3277.32</f>
        <v>6096.52</v>
      </c>
      <c r="N92" s="156"/>
      <c r="O92" s="157"/>
      <c r="P92" s="155" t="n">
        <v>5462.2</v>
      </c>
      <c r="Q92" s="155" t="n">
        <f aca="false">R92+S92</f>
        <v>4405</v>
      </c>
      <c r="R92" s="155" t="n">
        <f aca="false">4405</f>
        <v>4405</v>
      </c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54"/>
      <c r="B93" s="55" t="s">
        <v>70</v>
      </c>
      <c r="C93" s="56" t="s">
        <v>20</v>
      </c>
      <c r="D93" s="56" t="s">
        <v>71</v>
      </c>
      <c r="E93" s="56" t="s">
        <v>25</v>
      </c>
      <c r="F93" s="36"/>
      <c r="G93" s="158" t="s">
        <v>22</v>
      </c>
      <c r="H93" s="169" t="n">
        <v>1</v>
      </c>
      <c r="I93" s="160"/>
      <c r="J93" s="160"/>
      <c r="K93" s="161"/>
      <c r="L93" s="161" t="n">
        <f aca="false">M93+N93</f>
        <v>0</v>
      </c>
      <c r="M93" s="161"/>
      <c r="N93" s="190"/>
      <c r="O93" s="163" t="n">
        <v>4</v>
      </c>
      <c r="P93" s="161" t="n">
        <v>27231.45</v>
      </c>
      <c r="Q93" s="161" t="n">
        <f aca="false">R93+S93</f>
        <v>7836.01</v>
      </c>
      <c r="R93" s="161" t="n">
        <v>7836.01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54"/>
      <c r="B94" s="55"/>
      <c r="C94" s="55"/>
      <c r="D94" s="55"/>
      <c r="E94" s="55"/>
      <c r="F94" s="26" t="s">
        <v>177</v>
      </c>
      <c r="G94" s="152" t="s">
        <v>26</v>
      </c>
      <c r="H94" s="153" t="n">
        <v>7</v>
      </c>
      <c r="I94" s="154" t="n">
        <v>1</v>
      </c>
      <c r="J94" s="154" t="n">
        <v>1</v>
      </c>
      <c r="K94" s="155" t="n">
        <v>1409.6</v>
      </c>
      <c r="L94" s="155" t="n">
        <f aca="false">M94+N94</f>
        <v>1409.6</v>
      </c>
      <c r="M94" s="155" t="n">
        <f aca="false">1409.6</f>
        <v>1409.6</v>
      </c>
      <c r="N94" s="156"/>
      <c r="O94" s="157"/>
      <c r="P94" s="155"/>
      <c r="Q94" s="155" t="n">
        <f aca="false">R94+S94</f>
        <v>0</v>
      </c>
      <c r="R94" s="155"/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33"/>
      <c r="B95" s="34" t="s">
        <v>72</v>
      </c>
      <c r="C95" s="35" t="s">
        <v>20</v>
      </c>
      <c r="D95" s="35"/>
      <c r="E95" s="35" t="s">
        <v>52</v>
      </c>
      <c r="F95" s="36"/>
      <c r="G95" s="146" t="s">
        <v>22</v>
      </c>
      <c r="H95" s="159" t="n">
        <v>6</v>
      </c>
      <c r="I95" s="160" t="n">
        <v>4</v>
      </c>
      <c r="J95" s="160" t="n">
        <v>4</v>
      </c>
      <c r="K95" s="161" t="n">
        <v>6532.71</v>
      </c>
      <c r="L95" s="161" t="n">
        <f aca="false">M95+N95</f>
        <v>5486.08</v>
      </c>
      <c r="M95" s="161" t="n">
        <v>5486.08</v>
      </c>
      <c r="N95" s="190"/>
      <c r="O95" s="163" t="n">
        <v>6</v>
      </c>
      <c r="P95" s="161" t="n">
        <v>44299.53</v>
      </c>
      <c r="Q95" s="161" t="n">
        <f aca="false">R95+S95</f>
        <v>44299.53</v>
      </c>
      <c r="R95" s="161" t="n">
        <v>44299.53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33"/>
      <c r="B96" s="34"/>
      <c r="C96" s="34"/>
      <c r="D96" s="34"/>
      <c r="E96" s="34"/>
      <c r="F96" s="42" t="s">
        <v>178</v>
      </c>
      <c r="G96" s="164" t="s">
        <v>26</v>
      </c>
      <c r="H96" s="171" t="n">
        <v>5</v>
      </c>
      <c r="I96" s="165" t="n">
        <v>3</v>
      </c>
      <c r="J96" s="165" t="n">
        <v>3</v>
      </c>
      <c r="K96" s="166" t="n">
        <v>2858.7</v>
      </c>
      <c r="L96" s="161" t="n">
        <f aca="false">M96+N96</f>
        <v>4052.6</v>
      </c>
      <c r="M96" s="166" t="n">
        <v>4052.6</v>
      </c>
      <c r="N96" s="156"/>
      <c r="O96" s="168" t="n">
        <v>4</v>
      </c>
      <c r="P96" s="166" t="n">
        <v>11108.48</v>
      </c>
      <c r="Q96" s="166" t="n">
        <f aca="false">R96+S96</f>
        <v>11989.48</v>
      </c>
      <c r="R96" s="166" t="n">
        <f aca="false">3347.8+8641.68</f>
        <v>11989.48</v>
      </c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73</v>
      </c>
      <c r="C97" s="19" t="s">
        <v>20</v>
      </c>
      <c r="D97" s="19"/>
      <c r="E97" s="19" t="s">
        <v>52</v>
      </c>
      <c r="F97" s="20"/>
      <c r="G97" s="146" t="s">
        <v>22</v>
      </c>
      <c r="H97" s="159" t="n">
        <v>5</v>
      </c>
      <c r="I97" s="148" t="n">
        <v>2</v>
      </c>
      <c r="J97" s="148" t="n">
        <v>3</v>
      </c>
      <c r="K97" s="149" t="n">
        <v>4990.89</v>
      </c>
      <c r="L97" s="149" t="n">
        <f aca="false">M97+N97</f>
        <v>2277.26</v>
      </c>
      <c r="M97" s="149" t="n">
        <v>2277.26</v>
      </c>
      <c r="N97" s="190"/>
      <c r="O97" s="151" t="n">
        <v>4</v>
      </c>
      <c r="P97" s="149" t="n">
        <v>11448.19</v>
      </c>
      <c r="Q97" s="149" t="n">
        <f aca="false">R97+S97</f>
        <v>10069.05</v>
      </c>
      <c r="R97" s="149" t="n">
        <v>10069.05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26" t="s">
        <v>179</v>
      </c>
      <c r="G98" s="152" t="s">
        <v>26</v>
      </c>
      <c r="H98" s="153" t="n">
        <v>7</v>
      </c>
      <c r="I98" s="154" t="n">
        <v>3</v>
      </c>
      <c r="J98" s="154" t="n">
        <v>3</v>
      </c>
      <c r="K98" s="155" t="n">
        <v>8454.6</v>
      </c>
      <c r="L98" s="155" t="n">
        <f aca="false">M98+N98</f>
        <v>12686.4</v>
      </c>
      <c r="M98" s="155" t="n">
        <f aca="false">5109.8+7576.6</f>
        <v>12686.4</v>
      </c>
      <c r="N98" s="156"/>
      <c r="O98" s="157" t="n">
        <v>2</v>
      </c>
      <c r="P98" s="155"/>
      <c r="Q98" s="155" t="n">
        <f aca="false">R98+S98</f>
        <v>0</v>
      </c>
      <c r="R98" s="155"/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33"/>
      <c r="B99" s="34" t="s">
        <v>74</v>
      </c>
      <c r="C99" s="35" t="s">
        <v>33</v>
      </c>
      <c r="D99" s="35" t="s">
        <v>75</v>
      </c>
      <c r="E99" s="35" t="s">
        <v>25</v>
      </c>
      <c r="F99" s="36"/>
      <c r="G99" s="146" t="s">
        <v>22</v>
      </c>
      <c r="H99" s="159" t="n">
        <v>28</v>
      </c>
      <c r="I99" s="160" t="n">
        <v>23</v>
      </c>
      <c r="J99" s="160" t="n">
        <v>23</v>
      </c>
      <c r="K99" s="161" t="n">
        <v>45775.46</v>
      </c>
      <c r="L99" s="161" t="n">
        <f aca="false">M99+N99</f>
        <v>22267.64</v>
      </c>
      <c r="M99" s="161" t="n">
        <v>11782.59</v>
      </c>
      <c r="N99" s="190" t="n">
        <v>10485.05</v>
      </c>
      <c r="O99" s="163" t="n">
        <v>25</v>
      </c>
      <c r="P99" s="161" t="n">
        <v>141220.34</v>
      </c>
      <c r="Q99" s="161" t="n">
        <f aca="false">R99+S99</f>
        <v>57478.81</v>
      </c>
      <c r="R99" s="161" t="n">
        <v>42638.01</v>
      </c>
      <c r="S99" s="190" t="n">
        <v>14840.8</v>
      </c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33"/>
      <c r="B100" s="34"/>
      <c r="C100" s="34"/>
      <c r="D100" s="34"/>
      <c r="E100" s="34"/>
      <c r="F100" s="42" t="s">
        <v>270</v>
      </c>
      <c r="G100" s="164" t="s">
        <v>26</v>
      </c>
      <c r="H100" s="153"/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15858</v>
      </c>
      <c r="Q100" s="166" t="n">
        <f aca="false">R100+S100</f>
        <v>23170.3</v>
      </c>
      <c r="R100" s="166" t="n">
        <f aca="false">21936.9+1233.4</f>
        <v>23170.3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72"/>
      <c r="B101" s="73" t="s">
        <v>76</v>
      </c>
      <c r="C101" s="74" t="s">
        <v>20</v>
      </c>
      <c r="D101" s="74" t="s">
        <v>180</v>
      </c>
      <c r="E101" s="74" t="s">
        <v>25</v>
      </c>
      <c r="F101" s="20"/>
      <c r="G101" s="146" t="s">
        <v>22</v>
      </c>
      <c r="H101" s="159" t="n">
        <v>18</v>
      </c>
      <c r="I101" s="148" t="n">
        <v>15</v>
      </c>
      <c r="J101" s="148" t="n">
        <v>15</v>
      </c>
      <c r="K101" s="149" t="n">
        <v>12723.15</v>
      </c>
      <c r="L101" s="149" t="n">
        <f aca="false">M101+N101</f>
        <v>11302.98</v>
      </c>
      <c r="M101" s="149" t="n">
        <v>5035.24</v>
      </c>
      <c r="N101" s="190" t="n">
        <v>6267.74</v>
      </c>
      <c r="O101" s="151" t="n">
        <v>2</v>
      </c>
      <c r="P101" s="149" t="n">
        <v>12380.09</v>
      </c>
      <c r="Q101" s="149" t="n">
        <f aca="false">R101+S101</f>
        <v>12380.09</v>
      </c>
      <c r="R101" s="149" t="n">
        <v>12380.09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72"/>
      <c r="B102" s="73"/>
      <c r="C102" s="73"/>
      <c r="D102" s="73"/>
      <c r="E102" s="73"/>
      <c r="F102" s="42" t="s">
        <v>181</v>
      </c>
      <c r="G102" s="164" t="s">
        <v>26</v>
      </c>
      <c r="H102" s="171" t="n">
        <v>7</v>
      </c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7</v>
      </c>
      <c r="P102" s="166" t="n">
        <v>8457.6</v>
      </c>
      <c r="Q102" s="166" t="n">
        <f aca="false">R102+S102</f>
        <v>7488.5</v>
      </c>
      <c r="R102" s="165" t="n">
        <f aca="false">6431.3+1057.2</f>
        <v>7488.5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17"/>
      <c r="B103" s="18" t="s">
        <v>77</v>
      </c>
      <c r="C103" s="19" t="s">
        <v>38</v>
      </c>
      <c r="D103" s="19" t="s">
        <v>78</v>
      </c>
      <c r="E103" s="19" t="s">
        <v>25</v>
      </c>
      <c r="F103" s="22"/>
      <c r="G103" s="146" t="s">
        <v>22</v>
      </c>
      <c r="H103" s="169" t="n">
        <v>9</v>
      </c>
      <c r="I103" s="148" t="n">
        <v>9</v>
      </c>
      <c r="J103" s="148" t="n">
        <v>10</v>
      </c>
      <c r="K103" s="149" t="n">
        <v>8791.28</v>
      </c>
      <c r="L103" s="149" t="n">
        <f aca="false">M103+N103</f>
        <v>7482.33</v>
      </c>
      <c r="M103" s="149" t="n">
        <v>4148.63</v>
      </c>
      <c r="N103" s="190" t="n">
        <v>3333.7</v>
      </c>
      <c r="O103" s="151" t="n">
        <v>7</v>
      </c>
      <c r="P103" s="149" t="n">
        <v>12808.33</v>
      </c>
      <c r="Q103" s="149" t="n">
        <f aca="false">R103+S103</f>
        <v>12279.73</v>
      </c>
      <c r="R103" s="149" t="n">
        <v>8651.42</v>
      </c>
      <c r="S103" s="190" t="n">
        <v>3628.31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17"/>
      <c r="B104" s="18"/>
      <c r="C104" s="18"/>
      <c r="D104" s="18"/>
      <c r="E104" s="18"/>
      <c r="F104" s="80" t="s">
        <v>182</v>
      </c>
      <c r="G104" s="180" t="s">
        <v>26</v>
      </c>
      <c r="H104" s="159" t="n">
        <v>6</v>
      </c>
      <c r="I104" s="181" t="n">
        <v>1</v>
      </c>
      <c r="J104" s="181" t="n">
        <v>1</v>
      </c>
      <c r="K104" s="182" t="n">
        <v>4581.2</v>
      </c>
      <c r="L104" s="182" t="n">
        <f aca="false">M104+N104</f>
        <v>3876.4</v>
      </c>
      <c r="M104" s="182" t="n">
        <f aca="false">3876.4</f>
        <v>3876.4</v>
      </c>
      <c r="N104" s="167"/>
      <c r="O104" s="184" t="n">
        <v>9</v>
      </c>
      <c r="P104" s="182" t="n">
        <v>20318.3</v>
      </c>
      <c r="Q104" s="182" t="n">
        <f aca="false">R104+S104</f>
        <v>16386.6</v>
      </c>
      <c r="R104" s="182" t="n">
        <f aca="false">8986.2+7400.4</f>
        <v>16386.6</v>
      </c>
      <c r="S104" s="167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false" outlineLevel="0" collapsed="false">
      <c r="A105" s="17"/>
      <c r="B105" s="18"/>
      <c r="C105" s="18"/>
      <c r="D105" s="18"/>
      <c r="E105" s="18"/>
      <c r="F105" s="85" t="s">
        <v>237</v>
      </c>
      <c r="G105" s="185" t="s">
        <v>23</v>
      </c>
      <c r="H105" s="186" t="n">
        <v>2</v>
      </c>
      <c r="I105" s="154" t="n">
        <v>2</v>
      </c>
      <c r="J105" s="154" t="n">
        <v>2</v>
      </c>
      <c r="K105" s="155" t="n">
        <v>9338.6</v>
      </c>
      <c r="L105" s="155" t="n">
        <v>1585.8</v>
      </c>
      <c r="M105" s="155" t="n">
        <v>1585.8</v>
      </c>
      <c r="N105" s="156" t="n">
        <v>3347.8</v>
      </c>
      <c r="O105" s="157" t="n">
        <v>4</v>
      </c>
      <c r="P105" s="155" t="n">
        <v>8281.4</v>
      </c>
      <c r="Q105" s="155" t="n">
        <v>7752.8</v>
      </c>
      <c r="R105" s="155" t="n">
        <v>7752.8</v>
      </c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33"/>
      <c r="B106" s="34" t="s">
        <v>79</v>
      </c>
      <c r="C106" s="35" t="s">
        <v>20</v>
      </c>
      <c r="D106" s="35"/>
      <c r="E106" s="35" t="s">
        <v>52</v>
      </c>
      <c r="F106" s="38"/>
      <c r="G106" s="146" t="s">
        <v>22</v>
      </c>
      <c r="H106" s="159" t="n">
        <v>8</v>
      </c>
      <c r="I106" s="160" t="n">
        <v>4</v>
      </c>
      <c r="J106" s="160" t="n">
        <v>5</v>
      </c>
      <c r="K106" s="161" t="n">
        <v>10066.22</v>
      </c>
      <c r="L106" s="161" t="n">
        <f aca="false">M106+N106</f>
        <v>6509.89</v>
      </c>
      <c r="M106" s="161" t="n">
        <v>5452.69</v>
      </c>
      <c r="N106" s="190" t="n">
        <v>1057.2</v>
      </c>
      <c r="O106" s="163" t="n">
        <v>9</v>
      </c>
      <c r="P106" s="161" t="n">
        <v>33475.92</v>
      </c>
      <c r="Q106" s="161" t="n">
        <f aca="false">R106+S106</f>
        <v>32771.12</v>
      </c>
      <c r="R106" s="161" t="n">
        <v>23178.94</v>
      </c>
      <c r="S106" s="190" t="n">
        <v>9592.18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42"/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/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72"/>
      <c r="B108" s="73" t="s">
        <v>80</v>
      </c>
      <c r="C108" s="74" t="s">
        <v>20</v>
      </c>
      <c r="D108" s="74"/>
      <c r="E108" s="74" t="s">
        <v>81</v>
      </c>
      <c r="F108" s="20"/>
      <c r="G108" s="146" t="s">
        <v>22</v>
      </c>
      <c r="H108" s="159" t="n">
        <v>8</v>
      </c>
      <c r="I108" s="148" t="n">
        <v>5</v>
      </c>
      <c r="J108" s="148" t="n">
        <v>6</v>
      </c>
      <c r="K108" s="149" t="n">
        <v>7909.09</v>
      </c>
      <c r="L108" s="149" t="n">
        <f aca="false">M108+N108</f>
        <v>7909.09</v>
      </c>
      <c r="M108" s="149" t="n">
        <v>7909.09</v>
      </c>
      <c r="N108" s="190"/>
      <c r="O108" s="151" t="n">
        <v>1</v>
      </c>
      <c r="P108" s="149" t="n">
        <v>2381.63</v>
      </c>
      <c r="Q108" s="149" t="n">
        <f aca="false">R108+S108</f>
        <v>2381.63</v>
      </c>
      <c r="R108" s="149" t="n">
        <v>2381.63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72"/>
      <c r="B109" s="73"/>
      <c r="C109" s="73"/>
      <c r="D109" s="73"/>
      <c r="E109" s="73"/>
      <c r="F109" s="42" t="s">
        <v>183</v>
      </c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 t="n">
        <v>1</v>
      </c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17"/>
      <c r="B110" s="18" t="s">
        <v>82</v>
      </c>
      <c r="C110" s="19" t="s">
        <v>20</v>
      </c>
      <c r="D110" s="19" t="s">
        <v>184</v>
      </c>
      <c r="E110" s="19" t="s">
        <v>25</v>
      </c>
      <c r="F110" s="22"/>
      <c r="G110" s="146" t="s">
        <v>22</v>
      </c>
      <c r="H110" s="159" t="n">
        <v>26</v>
      </c>
      <c r="I110" s="148" t="n">
        <v>22</v>
      </c>
      <c r="J110" s="148" t="n">
        <v>28</v>
      </c>
      <c r="K110" s="149" t="n">
        <v>36614.08</v>
      </c>
      <c r="L110" s="149" t="n">
        <f aca="false">M110+N110</f>
        <v>29760.04</v>
      </c>
      <c r="M110" s="149" t="n">
        <v>15002.32</v>
      </c>
      <c r="N110" s="190" t="n">
        <v>14757.72</v>
      </c>
      <c r="O110" s="151" t="n">
        <v>4</v>
      </c>
      <c r="P110" s="149" t="n">
        <v>25421.86</v>
      </c>
      <c r="Q110" s="149" t="n">
        <f aca="false">R110+S110</f>
        <v>16087.08</v>
      </c>
      <c r="R110" s="149" t="n">
        <v>8372.97</v>
      </c>
      <c r="S110" s="190" t="n">
        <v>7714.11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17"/>
      <c r="B111" s="18"/>
      <c r="C111" s="18"/>
      <c r="D111" s="18"/>
      <c r="E111" s="18"/>
      <c r="F111" s="42" t="s">
        <v>185</v>
      </c>
      <c r="G111" s="164" t="s">
        <v>26</v>
      </c>
      <c r="H111" s="175" t="n">
        <v>4</v>
      </c>
      <c r="I111" s="165" t="n">
        <v>2</v>
      </c>
      <c r="J111" s="165" t="n">
        <v>2</v>
      </c>
      <c r="K111" s="166" t="n">
        <v>6519.4</v>
      </c>
      <c r="L111" s="166" t="n">
        <f aca="false">M111+N111</f>
        <v>2907.3</v>
      </c>
      <c r="M111" s="166" t="n">
        <f aca="false">2907.3</f>
        <v>2907.3</v>
      </c>
      <c r="N111" s="156"/>
      <c r="O111" s="168" t="n">
        <v>2</v>
      </c>
      <c r="P111" s="166" t="n">
        <v>3171.6</v>
      </c>
      <c r="Q111" s="166" t="n">
        <f aca="false">R111+S111</f>
        <v>10748.14</v>
      </c>
      <c r="R111" s="166" t="n">
        <f aca="false">2643+8105.14</f>
        <v>10748.14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254</v>
      </c>
      <c r="C112" s="19" t="s">
        <v>20</v>
      </c>
      <c r="D112" s="19"/>
      <c r="E112" s="19" t="s">
        <v>25</v>
      </c>
      <c r="F112" s="20"/>
      <c r="G112" s="204" t="s">
        <v>22</v>
      </c>
      <c r="H112" s="205"/>
      <c r="I112" s="148"/>
      <c r="J112" s="148"/>
      <c r="K112" s="149"/>
      <c r="L112" s="149"/>
      <c r="M112" s="149"/>
      <c r="N112" s="190"/>
      <c r="O112" s="206"/>
      <c r="P112" s="149"/>
      <c r="Q112" s="149"/>
      <c r="R112" s="149"/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" hidden="false" customHeight="false" outlineLevel="0" collapsed="false">
      <c r="A113" s="17"/>
      <c r="B113" s="18"/>
      <c r="C113" s="18"/>
      <c r="D113" s="18"/>
      <c r="E113" s="18"/>
      <c r="F113" s="26" t="s">
        <v>271</v>
      </c>
      <c r="G113" s="207" t="s">
        <v>26</v>
      </c>
      <c r="H113" s="208" t="n">
        <v>4</v>
      </c>
      <c r="I113" s="154"/>
      <c r="J113" s="154"/>
      <c r="K113" s="155"/>
      <c r="L113" s="155"/>
      <c r="M113" s="155"/>
      <c r="N113" s="156"/>
      <c r="O113" s="209"/>
      <c r="P113" s="155"/>
      <c r="Q113" s="155"/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54"/>
      <c r="B114" s="55" t="s">
        <v>83</v>
      </c>
      <c r="C114" s="56" t="s">
        <v>20</v>
      </c>
      <c r="D114" s="56"/>
      <c r="E114" s="56" t="s">
        <v>25</v>
      </c>
      <c r="F114" s="36"/>
      <c r="G114" s="158" t="s">
        <v>22</v>
      </c>
      <c r="H114" s="159" t="n">
        <v>13</v>
      </c>
      <c r="I114" s="160" t="n">
        <v>10</v>
      </c>
      <c r="J114" s="160" t="n">
        <v>10</v>
      </c>
      <c r="K114" s="161" t="n">
        <v>9972.74</v>
      </c>
      <c r="L114" s="161" t="n">
        <f aca="false">M114+N114</f>
        <v>9100.55</v>
      </c>
      <c r="M114" s="161" t="n">
        <v>9100.55</v>
      </c>
      <c r="N114" s="190"/>
      <c r="O114" s="163" t="n">
        <v>5</v>
      </c>
      <c r="P114" s="161" t="n">
        <v>16326.21</v>
      </c>
      <c r="Q114" s="161" t="n">
        <f aca="false">R114+S114</f>
        <v>12699.66</v>
      </c>
      <c r="R114" s="161" t="n">
        <v>12699.66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54"/>
      <c r="B115" s="55"/>
      <c r="C115" s="55"/>
      <c r="D115" s="55"/>
      <c r="E115" s="55"/>
      <c r="F115" s="26" t="s">
        <v>186</v>
      </c>
      <c r="G115" s="152" t="s">
        <v>26</v>
      </c>
      <c r="H115" s="153" t="n">
        <v>4</v>
      </c>
      <c r="I115" s="154" t="n">
        <v>3</v>
      </c>
      <c r="J115" s="154" t="n">
        <v>3</v>
      </c>
      <c r="K115" s="155" t="n">
        <v>8644.5</v>
      </c>
      <c r="L115" s="155" t="n">
        <f aca="false">M115+N115</f>
        <v>0</v>
      </c>
      <c r="M115" s="155"/>
      <c r="N115" s="156"/>
      <c r="O115" s="157" t="n">
        <v>9</v>
      </c>
      <c r="P115" s="155" t="n">
        <v>11805.4</v>
      </c>
      <c r="Q115" s="155" t="n">
        <f aca="false">R115+S115</f>
        <v>22553.6</v>
      </c>
      <c r="R115" s="155" t="n">
        <f aca="false">528.6+22025</f>
        <v>22553.6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33"/>
      <c r="B116" s="34" t="s">
        <v>84</v>
      </c>
      <c r="C116" s="35" t="s">
        <v>20</v>
      </c>
      <c r="D116" s="35"/>
      <c r="E116" s="35" t="s">
        <v>52</v>
      </c>
      <c r="F116" s="36"/>
      <c r="G116" s="146" t="s">
        <v>22</v>
      </c>
      <c r="H116" s="159" t="n">
        <v>29</v>
      </c>
      <c r="I116" s="160" t="n">
        <v>19</v>
      </c>
      <c r="J116" s="160" t="n">
        <v>28</v>
      </c>
      <c r="K116" s="161" t="n">
        <v>51943.96</v>
      </c>
      <c r="L116" s="161" t="n">
        <f aca="false">M116+N116</f>
        <v>33320.63</v>
      </c>
      <c r="M116" s="161" t="n">
        <v>12299.99</v>
      </c>
      <c r="N116" s="190" t="n">
        <v>21020.64</v>
      </c>
      <c r="O116" s="163" t="n">
        <v>26</v>
      </c>
      <c r="P116" s="161" t="n">
        <v>50568.54</v>
      </c>
      <c r="Q116" s="161" t="n">
        <f aca="false">R116+S116</f>
        <v>48972.74</v>
      </c>
      <c r="R116" s="161" t="n">
        <v>32814.22</v>
      </c>
      <c r="S116" s="190" t="n">
        <v>16158.52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71"/>
      <c r="G117" s="164" t="s">
        <v>26</v>
      </c>
      <c r="H117" s="153"/>
      <c r="I117" s="165"/>
      <c r="J117" s="165"/>
      <c r="K117" s="166"/>
      <c r="L117" s="166" t="n">
        <f aca="false">M117+N117</f>
        <v>0</v>
      </c>
      <c r="M117" s="166"/>
      <c r="N117" s="156"/>
      <c r="O117" s="168"/>
      <c r="P117" s="166"/>
      <c r="Q117" s="166" t="n">
        <f aca="false">R117+S117</f>
        <v>0</v>
      </c>
      <c r="R117" s="166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17"/>
      <c r="B118" s="18" t="s">
        <v>85</v>
      </c>
      <c r="C118" s="19" t="s">
        <v>20</v>
      </c>
      <c r="D118" s="19"/>
      <c r="E118" s="19" t="s">
        <v>25</v>
      </c>
      <c r="F118" s="87"/>
      <c r="G118" s="146" t="s">
        <v>22</v>
      </c>
      <c r="H118" s="169" t="n">
        <v>6</v>
      </c>
      <c r="I118" s="148" t="n">
        <v>2</v>
      </c>
      <c r="J118" s="148" t="n">
        <v>2</v>
      </c>
      <c r="K118" s="149" t="n">
        <v>1080.9</v>
      </c>
      <c r="L118" s="149" t="n">
        <f aca="false">M118+N118</f>
        <v>528.6</v>
      </c>
      <c r="M118" s="149" t="n">
        <v>528.6</v>
      </c>
      <c r="N118" s="190"/>
      <c r="O118" s="151" t="n">
        <v>5</v>
      </c>
      <c r="P118" s="149" t="n">
        <v>53507.38</v>
      </c>
      <c r="Q118" s="149" t="n">
        <f aca="false">R118+S118</f>
        <v>1162.92</v>
      </c>
      <c r="R118" s="149" t="n">
        <v>1162.92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88"/>
      <c r="G119" s="152" t="s">
        <v>26</v>
      </c>
      <c r="H119" s="153"/>
      <c r="I119" s="154"/>
      <c r="J119" s="154"/>
      <c r="K119" s="155"/>
      <c r="L119" s="155" t="n">
        <f aca="false">M119+N119</f>
        <v>0</v>
      </c>
      <c r="M119" s="155"/>
      <c r="N119" s="156"/>
      <c r="O119" s="157"/>
      <c r="P119" s="155"/>
      <c r="Q119" s="155" t="n">
        <f aca="false">R119+S119</f>
        <v>0</v>
      </c>
      <c r="R119" s="155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17"/>
      <c r="B120" s="73" t="s">
        <v>86</v>
      </c>
      <c r="C120" s="74" t="s">
        <v>33</v>
      </c>
      <c r="D120" s="74" t="s">
        <v>87</v>
      </c>
      <c r="E120" s="74" t="s">
        <v>88</v>
      </c>
      <c r="F120" s="20"/>
      <c r="G120" s="146" t="s">
        <v>22</v>
      </c>
      <c r="H120" s="169" t="n">
        <v>26</v>
      </c>
      <c r="I120" s="148" t="n">
        <v>16</v>
      </c>
      <c r="J120" s="148" t="n">
        <v>20</v>
      </c>
      <c r="K120" s="149" t="n">
        <v>21531.2</v>
      </c>
      <c r="L120" s="149" t="n">
        <f aca="false">M120+N120</f>
        <v>17200.17</v>
      </c>
      <c r="M120" s="149" t="n">
        <v>17200.17</v>
      </c>
      <c r="N120" s="190"/>
      <c r="O120" s="151" t="n">
        <v>16</v>
      </c>
      <c r="P120" s="149" t="n">
        <v>24976.53</v>
      </c>
      <c r="Q120" s="149" t="n">
        <f aca="false">R120+S120</f>
        <v>12627.56</v>
      </c>
      <c r="R120" s="149" t="n">
        <v>12627.56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73"/>
      <c r="C121" s="73"/>
      <c r="D121" s="73"/>
      <c r="E121" s="73"/>
      <c r="F121" s="42" t="s">
        <v>238</v>
      </c>
      <c r="G121" s="164" t="s">
        <v>23</v>
      </c>
      <c r="H121" s="171" t="n">
        <v>21</v>
      </c>
      <c r="I121" s="165" t="n">
        <v>10</v>
      </c>
      <c r="J121" s="165" t="n">
        <v>10</v>
      </c>
      <c r="K121" s="166" t="n">
        <v>10419.5</v>
      </c>
      <c r="L121" s="166" t="n">
        <v>5990.8</v>
      </c>
      <c r="M121" s="166" t="n">
        <v>5990.8</v>
      </c>
      <c r="N121" s="156"/>
      <c r="O121" s="168" t="n">
        <v>12</v>
      </c>
      <c r="P121" s="166" t="n">
        <v>28808.7</v>
      </c>
      <c r="Q121" s="166" t="n">
        <v>22113.1</v>
      </c>
      <c r="R121" s="166" t="n">
        <v>22113.1</v>
      </c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" hidden="false" customHeight="true" outlineLevel="0" collapsed="false">
      <c r="A122" s="17"/>
      <c r="B122" s="18" t="s">
        <v>89</v>
      </c>
      <c r="C122" s="19" t="s">
        <v>20</v>
      </c>
      <c r="D122" s="19" t="s">
        <v>90</v>
      </c>
      <c r="E122" s="19" t="s">
        <v>42</v>
      </c>
      <c r="F122" s="20"/>
      <c r="G122" s="146" t="s">
        <v>22</v>
      </c>
      <c r="H122" s="159" t="n">
        <v>22</v>
      </c>
      <c r="I122" s="148" t="n">
        <v>13</v>
      </c>
      <c r="J122" s="148" t="n">
        <v>16</v>
      </c>
      <c r="K122" s="149" t="n">
        <v>47989.16</v>
      </c>
      <c r="L122" s="149" t="n">
        <f aca="false">M122+N122</f>
        <v>41123.37</v>
      </c>
      <c r="M122" s="149" t="n">
        <v>17842.41</v>
      </c>
      <c r="N122" s="190" t="n">
        <v>23280.96</v>
      </c>
      <c r="O122" s="151" t="n">
        <v>19</v>
      </c>
      <c r="P122" s="149" t="n">
        <v>67670.88</v>
      </c>
      <c r="Q122" s="149" t="n">
        <f aca="false">R122+S122</f>
        <v>67667.88</v>
      </c>
      <c r="R122" s="149" t="n">
        <v>51532.2</v>
      </c>
      <c r="S122" s="190" t="n">
        <v>16135.68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 t="s">
        <v>239</v>
      </c>
      <c r="G123" s="152" t="s">
        <v>23</v>
      </c>
      <c r="H123" s="153"/>
      <c r="I123" s="154"/>
      <c r="J123" s="154"/>
      <c r="K123" s="155"/>
      <c r="L123" s="155" t="n">
        <f aca="false">M123+N123</f>
        <v>0</v>
      </c>
      <c r="M123" s="155"/>
      <c r="N123" s="156"/>
      <c r="O123" s="157"/>
      <c r="P123" s="155"/>
      <c r="Q123" s="155" t="n">
        <f aca="false">R123+S123</f>
        <v>0</v>
      </c>
      <c r="R123" s="155"/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 t="s">
        <v>91</v>
      </c>
      <c r="C124" s="35" t="s">
        <v>33</v>
      </c>
      <c r="D124" s="35" t="s">
        <v>92</v>
      </c>
      <c r="E124" s="35" t="s">
        <v>25</v>
      </c>
      <c r="F124" s="38" t="s">
        <v>239</v>
      </c>
      <c r="G124" s="146" t="s">
        <v>22</v>
      </c>
      <c r="H124" s="159" t="n">
        <v>27</v>
      </c>
      <c r="I124" s="160" t="n">
        <v>10</v>
      </c>
      <c r="J124" s="160" t="n">
        <v>10</v>
      </c>
      <c r="K124" s="161" t="n">
        <v>31421.82</v>
      </c>
      <c r="L124" s="161" t="n">
        <f aca="false">M124+N124</f>
        <v>23522.7</v>
      </c>
      <c r="M124" s="161" t="n">
        <v>4915.98</v>
      </c>
      <c r="N124" s="190" t="n">
        <v>18606.72</v>
      </c>
      <c r="O124" s="163" t="n">
        <v>16</v>
      </c>
      <c r="P124" s="161" t="n">
        <v>123375.91</v>
      </c>
      <c r="Q124" s="161" t="n">
        <f aca="false">R124+S124</f>
        <v>78950.02</v>
      </c>
      <c r="R124" s="161" t="n">
        <v>55873.9</v>
      </c>
      <c r="S124" s="190" t="n">
        <v>23076.12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/>
      <c r="C125" s="34"/>
      <c r="D125" s="34"/>
      <c r="E125" s="34"/>
      <c r="F125" s="89"/>
      <c r="G125" s="187" t="s">
        <v>23</v>
      </c>
      <c r="H125" s="169"/>
      <c r="I125" s="188"/>
      <c r="J125" s="188"/>
      <c r="K125" s="189"/>
      <c r="L125" s="189" t="n">
        <f aca="false">M125+N125</f>
        <v>0</v>
      </c>
      <c r="M125" s="189"/>
      <c r="N125" s="167"/>
      <c r="O125" s="191"/>
      <c r="P125" s="189"/>
      <c r="Q125" s="189" t="n">
        <f aca="false">R125+S125</f>
        <v>0</v>
      </c>
      <c r="R125" s="189"/>
      <c r="S125" s="167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187</v>
      </c>
      <c r="G126" s="164" t="s">
        <v>26</v>
      </c>
      <c r="H126" s="171" t="n">
        <v>5</v>
      </c>
      <c r="I126" s="165" t="n">
        <v>1</v>
      </c>
      <c r="J126" s="165" t="n">
        <v>2</v>
      </c>
      <c r="K126" s="166" t="n">
        <v>4193.56</v>
      </c>
      <c r="L126" s="166" t="n">
        <f aca="false">M126+N126</f>
        <v>4193.56</v>
      </c>
      <c r="M126" s="166" t="n">
        <f aca="false">2266.65+23.95+1902.96</f>
        <v>4193.56</v>
      </c>
      <c r="N126" s="156"/>
      <c r="O126" s="168" t="n">
        <v>10</v>
      </c>
      <c r="P126" s="166" t="n">
        <v>29143.12</v>
      </c>
      <c r="Q126" s="166" t="n">
        <f aca="false">R126+S126</f>
        <v>39891.68</v>
      </c>
      <c r="R126" s="166" t="n">
        <f aca="false">29167.43-47.9+23.95+10748.2</f>
        <v>39891.68</v>
      </c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17"/>
      <c r="B127" s="18" t="s">
        <v>93</v>
      </c>
      <c r="C127" s="19" t="s">
        <v>20</v>
      </c>
      <c r="D127" s="49"/>
      <c r="E127" s="19" t="s">
        <v>50</v>
      </c>
      <c r="F127" s="87"/>
      <c r="G127" s="146" t="s">
        <v>22</v>
      </c>
      <c r="H127" s="169" t="n">
        <v>7</v>
      </c>
      <c r="I127" s="148"/>
      <c r="J127" s="148"/>
      <c r="K127" s="149"/>
      <c r="L127" s="149" t="n">
        <f aca="false">M127+N127</f>
        <v>0</v>
      </c>
      <c r="M127" s="149"/>
      <c r="N127" s="190"/>
      <c r="O127" s="151"/>
      <c r="P127" s="149"/>
      <c r="Q127" s="149" t="n">
        <f aca="false">R127+S127</f>
        <v>0</v>
      </c>
      <c r="R127" s="149"/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88" t="s">
        <v>188</v>
      </c>
      <c r="G128" s="152" t="s">
        <v>26</v>
      </c>
      <c r="H128" s="171" t="n">
        <v>6</v>
      </c>
      <c r="I128" s="154"/>
      <c r="J128" s="154"/>
      <c r="K128" s="155"/>
      <c r="L128" s="155" t="n">
        <f aca="false">M128+N128</f>
        <v>0</v>
      </c>
      <c r="M128" s="155"/>
      <c r="N128" s="156"/>
      <c r="O128" s="157"/>
      <c r="P128" s="155"/>
      <c r="Q128" s="155" t="n">
        <f aca="false">R128+S128</f>
        <v>0</v>
      </c>
      <c r="R128" s="155"/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" hidden="false" customHeight="true" outlineLevel="0" collapsed="false">
      <c r="A129" s="54"/>
      <c r="B129" s="55" t="s">
        <v>94</v>
      </c>
      <c r="C129" s="56" t="s">
        <v>20</v>
      </c>
      <c r="D129" s="56"/>
      <c r="E129" s="56" t="s">
        <v>52</v>
      </c>
      <c r="F129" s="36"/>
      <c r="G129" s="158" t="s">
        <v>22</v>
      </c>
      <c r="H129" s="159" t="n">
        <v>10</v>
      </c>
      <c r="I129" s="160" t="n">
        <v>6</v>
      </c>
      <c r="J129" s="160" t="n">
        <v>6</v>
      </c>
      <c r="K129" s="161" t="n">
        <v>5938.38</v>
      </c>
      <c r="L129" s="161" t="n">
        <f aca="false">M129+N129</f>
        <v>4891.75</v>
      </c>
      <c r="M129" s="161" t="n">
        <v>4891.75</v>
      </c>
      <c r="N129" s="190"/>
      <c r="O129" s="163" t="n">
        <v>8</v>
      </c>
      <c r="P129" s="161" t="n">
        <v>22293.04</v>
      </c>
      <c r="Q129" s="161" t="n">
        <f aca="false">R129+S129</f>
        <v>22293.04</v>
      </c>
      <c r="R129" s="161" t="n">
        <v>22293.04</v>
      </c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42" t="s">
        <v>189</v>
      </c>
      <c r="G130" s="164" t="s">
        <v>26</v>
      </c>
      <c r="H130" s="171" t="n">
        <v>10</v>
      </c>
      <c r="I130" s="154" t="n">
        <v>1</v>
      </c>
      <c r="J130" s="154" t="n">
        <v>1</v>
      </c>
      <c r="K130" s="155" t="n">
        <v>2446.8</v>
      </c>
      <c r="L130" s="155" t="n">
        <f aca="false">M130+N130</f>
        <v>1938.2</v>
      </c>
      <c r="M130" s="155" t="n">
        <f aca="false">1938.2</f>
        <v>1938.2</v>
      </c>
      <c r="N130" s="156"/>
      <c r="O130" s="157" t="n">
        <v>5</v>
      </c>
      <c r="P130" s="155" t="n">
        <v>6871.8</v>
      </c>
      <c r="Q130" s="155" t="n">
        <f aca="false">R130+S130</f>
        <v>9242.43</v>
      </c>
      <c r="R130" s="155" t="n">
        <f aca="false">1585.8+1585.8+6070.83</f>
        <v>9242.43</v>
      </c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33"/>
      <c r="B131" s="34" t="s">
        <v>95</v>
      </c>
      <c r="C131" s="35" t="s">
        <v>33</v>
      </c>
      <c r="D131" s="35" t="s">
        <v>96</v>
      </c>
      <c r="E131" s="35" t="s">
        <v>88</v>
      </c>
      <c r="F131" s="22"/>
      <c r="G131" s="146" t="s">
        <v>22</v>
      </c>
      <c r="H131" s="159" t="n">
        <v>14</v>
      </c>
      <c r="I131" s="160" t="n">
        <v>8</v>
      </c>
      <c r="J131" s="192" t="n">
        <v>8</v>
      </c>
      <c r="K131" s="161" t="n">
        <v>11316.44</v>
      </c>
      <c r="L131" s="161" t="n">
        <f aca="false">M131+N131</f>
        <v>11316.44</v>
      </c>
      <c r="M131" s="161" t="n">
        <v>11316.44</v>
      </c>
      <c r="N131" s="190"/>
      <c r="O131" s="163"/>
      <c r="P131" s="161"/>
      <c r="Q131" s="161" t="n">
        <f aca="false">R131+S131</f>
        <v>0</v>
      </c>
      <c r="R131" s="161"/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 t="s">
        <v>240</v>
      </c>
      <c r="G132" s="164" t="s">
        <v>23</v>
      </c>
      <c r="H132" s="171" t="n">
        <v>6</v>
      </c>
      <c r="I132" s="165" t="n">
        <v>4</v>
      </c>
      <c r="J132" s="165" t="n">
        <v>4</v>
      </c>
      <c r="K132" s="166" t="n">
        <v>2114.4</v>
      </c>
      <c r="L132" s="166" t="n">
        <f aca="false">M132+N132</f>
        <v>2114.4</v>
      </c>
      <c r="M132" s="166" t="n">
        <v>2114.4</v>
      </c>
      <c r="N132" s="156"/>
      <c r="O132" s="168" t="n">
        <v>2</v>
      </c>
      <c r="P132" s="166" t="n">
        <v>4405</v>
      </c>
      <c r="Q132" s="166" t="n">
        <f aca="false">R132+S132</f>
        <v>4405</v>
      </c>
      <c r="R132" s="166" t="n">
        <v>4405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72"/>
      <c r="B133" s="73" t="s">
        <v>97</v>
      </c>
      <c r="C133" s="74" t="s">
        <v>20</v>
      </c>
      <c r="D133" s="74"/>
      <c r="E133" s="74" t="s">
        <v>98</v>
      </c>
      <c r="F133" s="20"/>
      <c r="G133" s="146" t="s">
        <v>22</v>
      </c>
      <c r="H133" s="159" t="n">
        <v>8</v>
      </c>
      <c r="I133" s="148" t="n">
        <v>7</v>
      </c>
      <c r="J133" s="148" t="n">
        <v>8</v>
      </c>
      <c r="K133" s="149" t="n">
        <v>16726.6</v>
      </c>
      <c r="L133" s="149" t="n">
        <f aca="false">M133+N133</f>
        <v>16726.6</v>
      </c>
      <c r="M133" s="149" t="n">
        <v>2223.64</v>
      </c>
      <c r="N133" s="190" t="n">
        <v>14502.96</v>
      </c>
      <c r="O133" s="151" t="n">
        <v>9</v>
      </c>
      <c r="P133" s="149" t="n">
        <v>43045.94</v>
      </c>
      <c r="Q133" s="149" t="n">
        <f aca="false">R133+S133</f>
        <v>39667.8</v>
      </c>
      <c r="R133" s="149" t="n">
        <v>19174.92</v>
      </c>
      <c r="S133" s="190" t="n">
        <v>20492.88</v>
      </c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72"/>
      <c r="B134" s="73"/>
      <c r="C134" s="73"/>
      <c r="D134" s="73"/>
      <c r="E134" s="73"/>
      <c r="F134" s="42" t="s">
        <v>241</v>
      </c>
      <c r="G134" s="164" t="s">
        <v>23</v>
      </c>
      <c r="H134" s="172" t="n">
        <v>19</v>
      </c>
      <c r="I134" s="165" t="n">
        <v>14</v>
      </c>
      <c r="J134" s="165" t="n">
        <v>14</v>
      </c>
      <c r="K134" s="166" t="n">
        <v>12510.2</v>
      </c>
      <c r="L134" s="166" t="n">
        <v>2605.89</v>
      </c>
      <c r="M134" s="166" t="n">
        <v>2605.89</v>
      </c>
      <c r="N134" s="156" t="n">
        <v>2680.11</v>
      </c>
      <c r="O134" s="168" t="n">
        <v>11</v>
      </c>
      <c r="P134" s="166" t="n">
        <v>28192</v>
      </c>
      <c r="Q134" s="166" t="n">
        <v>18677.2</v>
      </c>
      <c r="R134" s="166" t="n">
        <v>18677.2</v>
      </c>
      <c r="S134" s="156" t="n">
        <v>2643</v>
      </c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 t="s">
        <v>156</v>
      </c>
      <c r="C135" s="19"/>
      <c r="D135" s="19"/>
      <c r="E135" s="19"/>
      <c r="F135" s="20"/>
      <c r="G135" s="146" t="s">
        <v>22</v>
      </c>
      <c r="H135" s="173" t="n">
        <v>26</v>
      </c>
      <c r="I135" s="148" t="n">
        <v>18</v>
      </c>
      <c r="J135" s="148" t="n">
        <v>23</v>
      </c>
      <c r="K135" s="149" t="n">
        <v>65208.2</v>
      </c>
      <c r="L135" s="149" t="n">
        <f aca="false">M135+N135</f>
        <v>55268.48</v>
      </c>
      <c r="M135" s="149" t="n">
        <v>35830.76</v>
      </c>
      <c r="N135" s="190" t="n">
        <v>19437.72</v>
      </c>
      <c r="O135" s="151"/>
      <c r="P135" s="149"/>
      <c r="Q135" s="149" t="n">
        <f aca="false">R135+S135</f>
        <v>0</v>
      </c>
      <c r="R135" s="149"/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/>
      <c r="C136" s="18"/>
      <c r="D136" s="18"/>
      <c r="E136" s="18"/>
      <c r="F136" s="89" t="s">
        <v>272</v>
      </c>
      <c r="G136" s="187" t="s">
        <v>26</v>
      </c>
      <c r="H136" s="172" t="n">
        <v>11</v>
      </c>
      <c r="I136" s="188" t="n">
        <v>5</v>
      </c>
      <c r="J136" s="188" t="n">
        <v>5</v>
      </c>
      <c r="K136" s="189" t="n">
        <v>4754.4</v>
      </c>
      <c r="L136" s="189" t="n">
        <f aca="false">M136+N136</f>
        <v>4581.2</v>
      </c>
      <c r="M136" s="189" t="n">
        <f aca="false">1233.4+3347.8</f>
        <v>4581.2</v>
      </c>
      <c r="N136" s="167"/>
      <c r="O136" s="191"/>
      <c r="P136" s="189"/>
      <c r="Q136" s="189" t="n">
        <f aca="false">R136+S136</f>
        <v>0</v>
      </c>
      <c r="R136" s="189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71"/>
      <c r="G137" s="164" t="s">
        <v>23</v>
      </c>
      <c r="H137" s="177"/>
      <c r="I137" s="165"/>
      <c r="J137" s="165"/>
      <c r="K137" s="166"/>
      <c r="L137" s="166" t="n">
        <f aca="false">M137+N137</f>
        <v>0</v>
      </c>
      <c r="M137" s="166"/>
      <c r="N137" s="156"/>
      <c r="O137" s="168"/>
      <c r="P137" s="166"/>
      <c r="Q137" s="166" t="n">
        <f aca="false">R137+S137</f>
        <v>0</v>
      </c>
      <c r="R137" s="166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 t="s">
        <v>190</v>
      </c>
      <c r="C138" s="19"/>
      <c r="D138" s="19"/>
      <c r="E138" s="19"/>
      <c r="F138" s="20"/>
      <c r="G138" s="146" t="s">
        <v>22</v>
      </c>
      <c r="H138" s="173" t="n">
        <v>8</v>
      </c>
      <c r="I138" s="148"/>
      <c r="J138" s="148"/>
      <c r="K138" s="149"/>
      <c r="L138" s="149" t="n">
        <f aca="false">M138+N138</f>
        <v>0</v>
      </c>
      <c r="M138" s="149"/>
      <c r="N138" s="190"/>
      <c r="O138" s="151"/>
      <c r="P138" s="149"/>
      <c r="Q138" s="149" t="n">
        <f aca="false">R138+S138</f>
        <v>0</v>
      </c>
      <c r="R138" s="149"/>
      <c r="S138" s="190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26" t="s">
        <v>242</v>
      </c>
      <c r="G139" s="152" t="s">
        <v>23</v>
      </c>
      <c r="H139" s="174" t="n">
        <v>2</v>
      </c>
      <c r="I139" s="154"/>
      <c r="J139" s="154"/>
      <c r="K139" s="155"/>
      <c r="L139" s="155" t="n">
        <f aca="false">M139+N139</f>
        <v>0</v>
      </c>
      <c r="M139" s="155"/>
      <c r="N139" s="156"/>
      <c r="O139" s="157"/>
      <c r="P139" s="155"/>
      <c r="Q139" s="155" t="n">
        <f aca="false">R139+S139</f>
        <v>0</v>
      </c>
      <c r="R139" s="155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 t="s">
        <v>99</v>
      </c>
      <c r="C140" s="56" t="s">
        <v>33</v>
      </c>
      <c r="D140" s="56" t="s">
        <v>100</v>
      </c>
      <c r="E140" s="56" t="s">
        <v>101</v>
      </c>
      <c r="F140" s="36"/>
      <c r="G140" s="158" t="s">
        <v>22</v>
      </c>
      <c r="H140" s="159" t="n">
        <v>25</v>
      </c>
      <c r="I140" s="160" t="n">
        <v>17</v>
      </c>
      <c r="J140" s="160" t="n">
        <v>17</v>
      </c>
      <c r="K140" s="161" t="n">
        <v>5109.8</v>
      </c>
      <c r="L140" s="161" t="n">
        <f aca="false">M140+N140</f>
        <v>4757.4</v>
      </c>
      <c r="M140" s="161" t="n">
        <v>4757.4</v>
      </c>
      <c r="N140" s="190"/>
      <c r="O140" s="163" t="n">
        <v>23</v>
      </c>
      <c r="P140" s="161" t="n">
        <v>41618.89</v>
      </c>
      <c r="Q140" s="161" t="n">
        <f aca="false">R140+S140</f>
        <v>38323.95</v>
      </c>
      <c r="R140" s="161" t="n">
        <v>38323.95</v>
      </c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54"/>
      <c r="B141" s="55"/>
      <c r="C141" s="55"/>
      <c r="D141" s="55"/>
      <c r="E141" s="55"/>
      <c r="F141" s="80" t="s">
        <v>191</v>
      </c>
      <c r="G141" s="180" t="s">
        <v>26</v>
      </c>
      <c r="H141" s="169" t="n">
        <v>10</v>
      </c>
      <c r="I141" s="181" t="n">
        <v>5</v>
      </c>
      <c r="J141" s="181" t="n">
        <v>5</v>
      </c>
      <c r="K141" s="182" t="n">
        <v>4228.8</v>
      </c>
      <c r="L141" s="182" t="n">
        <f aca="false">M141+N141</f>
        <v>2643</v>
      </c>
      <c r="M141" s="182" t="n">
        <f aca="false">2643</f>
        <v>2643</v>
      </c>
      <c r="N141" s="167"/>
      <c r="O141" s="184" t="n">
        <v>3</v>
      </c>
      <c r="P141" s="182" t="n">
        <v>5374.1</v>
      </c>
      <c r="Q141" s="161" t="n">
        <f aca="false">R141+S141</f>
        <v>6607.5</v>
      </c>
      <c r="R141" s="182" t="n">
        <f aca="false">1673.9+3700.2+1233.4</f>
        <v>6607.5</v>
      </c>
      <c r="S141" s="167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/>
      <c r="C142" s="55"/>
      <c r="D142" s="55"/>
      <c r="E142" s="55"/>
      <c r="F142" s="42"/>
      <c r="G142" s="164" t="s">
        <v>23</v>
      </c>
      <c r="H142" s="175"/>
      <c r="I142" s="165"/>
      <c r="J142" s="165"/>
      <c r="K142" s="166"/>
      <c r="L142" s="166" t="n">
        <f aca="false">M142+N142</f>
        <v>0</v>
      </c>
      <c r="M142" s="166"/>
      <c r="N142" s="156"/>
      <c r="O142" s="168"/>
      <c r="P142" s="166"/>
      <c r="Q142" s="166" t="n">
        <f aca="false">R142+S142</f>
        <v>0</v>
      </c>
      <c r="R142" s="166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17"/>
      <c r="B143" s="18" t="s">
        <v>224</v>
      </c>
      <c r="C143" s="19"/>
      <c r="D143" s="19"/>
      <c r="E143" s="19"/>
      <c r="F143" s="20"/>
      <c r="G143" s="146" t="s">
        <v>22</v>
      </c>
      <c r="H143" s="147" t="n">
        <v>5</v>
      </c>
      <c r="I143" s="148" t="n">
        <v>4</v>
      </c>
      <c r="J143" s="148" t="n">
        <v>5</v>
      </c>
      <c r="K143" s="149" t="n">
        <v>4673.26</v>
      </c>
      <c r="L143" s="149" t="n">
        <f aca="false">M143+N143</f>
        <v>4673.26</v>
      </c>
      <c r="M143" s="149" t="n">
        <v>3968.46</v>
      </c>
      <c r="N143" s="190" t="n">
        <v>704.8</v>
      </c>
      <c r="O143" s="151"/>
      <c r="P143" s="149"/>
      <c r="Q143" s="149" t="n">
        <f aca="false">R143+S143</f>
        <v>0</v>
      </c>
      <c r="R143" s="149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17"/>
      <c r="B144" s="18"/>
      <c r="C144" s="18"/>
      <c r="D144" s="18"/>
      <c r="E144" s="18"/>
      <c r="F144" s="26" t="s">
        <v>273</v>
      </c>
      <c r="G144" s="152" t="s">
        <v>26</v>
      </c>
      <c r="H144" s="176" t="n">
        <v>6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102</v>
      </c>
      <c r="C145" s="35" t="s">
        <v>20</v>
      </c>
      <c r="D145" s="35"/>
      <c r="E145" s="35" t="s">
        <v>25</v>
      </c>
      <c r="F145" s="36"/>
      <c r="G145" s="158" t="s">
        <v>22</v>
      </c>
      <c r="H145" s="169" t="n">
        <v>18</v>
      </c>
      <c r="I145" s="160" t="n">
        <v>16</v>
      </c>
      <c r="J145" s="160" t="n">
        <v>16</v>
      </c>
      <c r="K145" s="161" t="n">
        <v>17960.86</v>
      </c>
      <c r="L145" s="161" t="n">
        <f aca="false">M145+N145</f>
        <v>17408.56</v>
      </c>
      <c r="M145" s="161" t="n">
        <v>14377.92</v>
      </c>
      <c r="N145" s="190" t="n">
        <v>3030.64</v>
      </c>
      <c r="O145" s="163" t="n">
        <v>8</v>
      </c>
      <c r="P145" s="161" t="n">
        <v>30446.34</v>
      </c>
      <c r="Q145" s="161" t="n">
        <f aca="false">R145+S145</f>
        <v>27296.38</v>
      </c>
      <c r="R145" s="161" t="n">
        <v>20530.3</v>
      </c>
      <c r="S145" s="190" t="n">
        <v>6766.08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192</v>
      </c>
      <c r="G146" s="164" t="s">
        <v>26</v>
      </c>
      <c r="H146" s="153" t="n">
        <v>5</v>
      </c>
      <c r="I146" s="165" t="n">
        <v>2</v>
      </c>
      <c r="J146" s="165" t="n">
        <v>2</v>
      </c>
      <c r="K146" s="166" t="n">
        <v>7400.4</v>
      </c>
      <c r="L146" s="166" t="n">
        <f aca="false">M146+N146</f>
        <v>3700.2</v>
      </c>
      <c r="M146" s="166" t="n">
        <f aca="false">3700.2</f>
        <v>3700.2</v>
      </c>
      <c r="N146" s="156"/>
      <c r="O146" s="168" t="n">
        <v>6</v>
      </c>
      <c r="P146" s="166" t="n">
        <v>5286</v>
      </c>
      <c r="Q146" s="166" t="n">
        <f aca="false">R146+S146</f>
        <v>8105.2</v>
      </c>
      <c r="R146" s="166" t="n">
        <f aca="false">6519.4+1585.8</f>
        <v>8105.2</v>
      </c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17"/>
      <c r="B147" s="18" t="s">
        <v>103</v>
      </c>
      <c r="C147" s="19" t="s">
        <v>20</v>
      </c>
      <c r="D147" s="19"/>
      <c r="E147" s="19" t="s">
        <v>52</v>
      </c>
      <c r="F147" s="20"/>
      <c r="G147" s="146" t="s">
        <v>22</v>
      </c>
      <c r="H147" s="169" t="n">
        <v>2</v>
      </c>
      <c r="I147" s="148" t="n">
        <v>2</v>
      </c>
      <c r="J147" s="148" t="n">
        <v>3</v>
      </c>
      <c r="K147" s="149" t="n">
        <v>8028.11</v>
      </c>
      <c r="L147" s="149" t="n">
        <f aca="false">M147+N147</f>
        <v>8028.11</v>
      </c>
      <c r="M147" s="149" t="n">
        <v>8028.11</v>
      </c>
      <c r="N147" s="190"/>
      <c r="O147" s="151" t="n">
        <v>11</v>
      </c>
      <c r="P147" s="149" t="n">
        <v>78508.52</v>
      </c>
      <c r="Q147" s="149" t="n">
        <f aca="false">R147+S147</f>
        <v>70386.17</v>
      </c>
      <c r="R147" s="149" t="n">
        <v>70386.17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17"/>
      <c r="B148" s="18"/>
      <c r="C148" s="18"/>
      <c r="D148" s="18"/>
      <c r="E148" s="18"/>
      <c r="F148" s="42" t="s">
        <v>193</v>
      </c>
      <c r="G148" s="164" t="s">
        <v>26</v>
      </c>
      <c r="H148" s="172" t="n">
        <v>10</v>
      </c>
      <c r="I148" s="165" t="n">
        <v>1</v>
      </c>
      <c r="J148" s="165" t="n">
        <v>1</v>
      </c>
      <c r="K148" s="166" t="n">
        <v>704.8</v>
      </c>
      <c r="L148" s="166" t="n">
        <f aca="false">M148+N148</f>
        <v>2466.8</v>
      </c>
      <c r="M148" s="166" t="n">
        <f aca="false">2466.8</f>
        <v>2466.8</v>
      </c>
      <c r="N148" s="167"/>
      <c r="O148" s="168" t="n">
        <v>7</v>
      </c>
      <c r="P148" s="166" t="n">
        <v>10925</v>
      </c>
      <c r="Q148" s="166" t="n">
        <f aca="false">R148+S148</f>
        <v>9867.04</v>
      </c>
      <c r="R148" s="166" t="n">
        <f aca="false">2290.6+528.6+7047.84</f>
        <v>9867.04</v>
      </c>
      <c r="S148" s="167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294</v>
      </c>
      <c r="C149" s="19"/>
      <c r="D149" s="19"/>
      <c r="E149" s="19"/>
      <c r="F149" s="22"/>
      <c r="G149" s="146" t="s">
        <v>22</v>
      </c>
      <c r="H149" s="147"/>
      <c r="I149" s="148"/>
      <c r="J149" s="148"/>
      <c r="K149" s="149"/>
      <c r="L149" s="149" t="n">
        <f aca="false">M149+N149</f>
        <v>0</v>
      </c>
      <c r="M149" s="149"/>
      <c r="N149" s="224"/>
      <c r="O149" s="151"/>
      <c r="P149" s="149"/>
      <c r="Q149" s="149" t="n">
        <f aca="false">R149+S149</f>
        <v>0</v>
      </c>
      <c r="R149" s="149"/>
      <c r="S149" s="15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" hidden="false" customHeight="false" outlineLevel="0" collapsed="false">
      <c r="A150" s="17"/>
      <c r="B150" s="18"/>
      <c r="C150" s="18"/>
      <c r="D150" s="18"/>
      <c r="E150" s="18"/>
      <c r="F150" s="26"/>
      <c r="G150" s="152" t="s">
        <v>26</v>
      </c>
      <c r="H150" s="176" t="n">
        <v>1</v>
      </c>
      <c r="I150" s="154"/>
      <c r="J150" s="154"/>
      <c r="K150" s="155"/>
      <c r="L150" s="155" t="n">
        <f aca="false">M150+N150</f>
        <v>0</v>
      </c>
      <c r="M150" s="155"/>
      <c r="N150" s="22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54"/>
      <c r="B151" s="55" t="s">
        <v>104</v>
      </c>
      <c r="C151" s="56" t="s">
        <v>20</v>
      </c>
      <c r="D151" s="56"/>
      <c r="E151" s="56" t="s">
        <v>25</v>
      </c>
      <c r="F151" s="38"/>
      <c r="G151" s="158" t="s">
        <v>22</v>
      </c>
      <c r="H151" s="169"/>
      <c r="I151" s="160"/>
      <c r="J151" s="160"/>
      <c r="K151" s="161"/>
      <c r="L151" s="161" t="n">
        <f aca="false">M151+N151</f>
        <v>0</v>
      </c>
      <c r="M151" s="161"/>
      <c r="N151" s="190"/>
      <c r="O151" s="163" t="n">
        <v>2</v>
      </c>
      <c r="P151" s="161" t="n">
        <v>20088.08</v>
      </c>
      <c r="Q151" s="161" t="n">
        <f aca="false">R151+S151</f>
        <v>20088.08</v>
      </c>
      <c r="R151" s="161" t="n">
        <v>20088.08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54"/>
      <c r="B152" s="55"/>
      <c r="C152" s="55"/>
      <c r="D152" s="55"/>
      <c r="E152" s="55"/>
      <c r="F152" s="26" t="s">
        <v>281</v>
      </c>
      <c r="G152" s="152" t="s">
        <v>26</v>
      </c>
      <c r="H152" s="153" t="n">
        <v>3</v>
      </c>
      <c r="I152" s="154"/>
      <c r="J152" s="154"/>
      <c r="K152" s="155"/>
      <c r="L152" s="155" t="n">
        <f aca="false">M152+N152</f>
        <v>0</v>
      </c>
      <c r="M152" s="155"/>
      <c r="N152" s="15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105</v>
      </c>
      <c r="C153" s="35" t="s">
        <v>33</v>
      </c>
      <c r="D153" s="35" t="s">
        <v>106</v>
      </c>
      <c r="E153" s="35" t="s">
        <v>107</v>
      </c>
      <c r="F153" s="36"/>
      <c r="G153" s="146" t="s">
        <v>22</v>
      </c>
      <c r="H153" s="169" t="n">
        <v>8</v>
      </c>
      <c r="I153" s="160" t="n">
        <v>1</v>
      </c>
      <c r="J153" s="160" t="n">
        <v>1</v>
      </c>
      <c r="K153" s="161" t="n">
        <v>352.4</v>
      </c>
      <c r="L153" s="161" t="n">
        <f aca="false">M153+N153</f>
        <v>352.4</v>
      </c>
      <c r="M153" s="161"/>
      <c r="N153" s="190" t="n">
        <v>352.4</v>
      </c>
      <c r="O153" s="163" t="n">
        <v>10</v>
      </c>
      <c r="P153" s="161" t="n">
        <v>45624.44</v>
      </c>
      <c r="Q153" s="161" t="n">
        <f aca="false">R153+S153</f>
        <v>45624.44</v>
      </c>
      <c r="R153" s="161" t="n">
        <v>18435.62</v>
      </c>
      <c r="S153" s="190" t="n">
        <v>27188.82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42" t="s">
        <v>194</v>
      </c>
      <c r="G154" s="164" t="s">
        <v>26</v>
      </c>
      <c r="H154" s="153" t="n">
        <v>2</v>
      </c>
      <c r="I154" s="165"/>
      <c r="J154" s="165"/>
      <c r="K154" s="166"/>
      <c r="L154" s="161" t="n">
        <f aca="false">M154+N154</f>
        <v>0</v>
      </c>
      <c r="M154" s="166" t="n">
        <v>0</v>
      </c>
      <c r="N154" s="156"/>
      <c r="O154" s="168" t="n">
        <v>7</v>
      </c>
      <c r="P154" s="166" t="n">
        <v>23645.16</v>
      </c>
      <c r="Q154" s="166" t="n">
        <f aca="false">R154+S154</f>
        <v>16536.3</v>
      </c>
      <c r="R154" s="166" t="n">
        <f aca="false">4801.4+881+10853.9</f>
        <v>16536.3</v>
      </c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72"/>
      <c r="B155" s="73" t="s">
        <v>108</v>
      </c>
      <c r="C155" s="74" t="s">
        <v>33</v>
      </c>
      <c r="D155" s="74" t="s">
        <v>109</v>
      </c>
      <c r="E155" s="74" t="s">
        <v>25</v>
      </c>
      <c r="F155" s="20"/>
      <c r="G155" s="146" t="s">
        <v>22</v>
      </c>
      <c r="H155" s="159" t="n">
        <v>10</v>
      </c>
      <c r="I155" s="148" t="n">
        <v>10</v>
      </c>
      <c r="J155" s="148" t="n">
        <v>11</v>
      </c>
      <c r="K155" s="149" t="n">
        <v>21918.02</v>
      </c>
      <c r="L155" s="149" t="n">
        <f aca="false">M155+N155</f>
        <v>11519.11</v>
      </c>
      <c r="M155" s="149" t="n">
        <v>11519.11</v>
      </c>
      <c r="N155" s="190"/>
      <c r="O155" s="151" t="n">
        <v>22</v>
      </c>
      <c r="P155" s="149" t="n">
        <v>54823.91</v>
      </c>
      <c r="Q155" s="149" t="n">
        <f aca="false">R155+S155</f>
        <v>37928.86</v>
      </c>
      <c r="R155" s="149" t="n">
        <v>37928.86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72"/>
      <c r="B156" s="73"/>
      <c r="C156" s="73"/>
      <c r="D156" s="73"/>
      <c r="E156" s="73"/>
      <c r="F156" s="42" t="s">
        <v>195</v>
      </c>
      <c r="G156" s="164" t="s">
        <v>26</v>
      </c>
      <c r="H156" s="171" t="n">
        <v>9</v>
      </c>
      <c r="I156" s="165" t="n">
        <v>7</v>
      </c>
      <c r="J156" s="165" t="n">
        <v>7</v>
      </c>
      <c r="K156" s="166" t="n">
        <v>25240.98</v>
      </c>
      <c r="L156" s="166" t="n">
        <f aca="false">M156+N156</f>
        <v>14448.4</v>
      </c>
      <c r="M156" s="166" t="n">
        <f aca="false">6942.28+7506.12</f>
        <v>14448.4</v>
      </c>
      <c r="N156" s="156"/>
      <c r="O156" s="157" t="n">
        <v>13</v>
      </c>
      <c r="P156" s="155" t="n">
        <v>32508.9</v>
      </c>
      <c r="Q156" s="155" t="n">
        <f aca="false">R156+S156</f>
        <v>38112.06</v>
      </c>
      <c r="R156" s="155" t="n">
        <f aca="false">15329.4+14888.9+7893.76</f>
        <v>38112.06</v>
      </c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17"/>
      <c r="B157" s="18" t="s">
        <v>110</v>
      </c>
      <c r="C157" s="19" t="s">
        <v>33</v>
      </c>
      <c r="D157" s="19" t="s">
        <v>111</v>
      </c>
      <c r="E157" s="19" t="s">
        <v>25</v>
      </c>
      <c r="F157" s="20"/>
      <c r="G157" s="146" t="s">
        <v>22</v>
      </c>
      <c r="H157" s="159" t="n">
        <v>26</v>
      </c>
      <c r="I157" s="148" t="n">
        <v>21</v>
      </c>
      <c r="J157" s="193" t="n">
        <v>23</v>
      </c>
      <c r="K157" s="149" t="n">
        <v>22909.26</v>
      </c>
      <c r="L157" s="149" t="n">
        <f aca="false">M157+N157</f>
        <v>19498.3</v>
      </c>
      <c r="M157" s="149" t="n">
        <v>16881.73</v>
      </c>
      <c r="N157" s="190" t="n">
        <v>2616.57</v>
      </c>
      <c r="O157" s="163" t="n">
        <v>17</v>
      </c>
      <c r="P157" s="161" t="n">
        <v>61614.34</v>
      </c>
      <c r="Q157" s="161" t="n">
        <f aca="false">R157+S157</f>
        <v>50536.47</v>
      </c>
      <c r="R157" s="161" t="n">
        <v>50536.47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18"/>
      <c r="C158" s="18"/>
      <c r="D158" s="18"/>
      <c r="E158" s="18"/>
      <c r="F158" s="42" t="s">
        <v>196</v>
      </c>
      <c r="G158" s="164" t="s">
        <v>26</v>
      </c>
      <c r="H158" s="175" t="n">
        <v>4</v>
      </c>
      <c r="I158" s="165" t="n">
        <v>4</v>
      </c>
      <c r="J158" s="165" t="n">
        <v>3</v>
      </c>
      <c r="K158" s="166" t="n">
        <v>10296.2</v>
      </c>
      <c r="L158" s="166" t="n">
        <f aca="false">M158+N158</f>
        <v>0</v>
      </c>
      <c r="M158" s="166"/>
      <c r="N158" s="167"/>
      <c r="O158" s="168" t="n">
        <v>1</v>
      </c>
      <c r="P158" s="166"/>
      <c r="Q158" s="166" t="n">
        <f aca="false">R158+S158</f>
        <v>0</v>
      </c>
      <c r="R158" s="166"/>
      <c r="S158" s="167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240" t="s">
        <v>282</v>
      </c>
      <c r="C159" s="19" t="s">
        <v>33</v>
      </c>
      <c r="D159" s="19" t="s">
        <v>283</v>
      </c>
      <c r="E159" s="19" t="s">
        <v>284</v>
      </c>
      <c r="F159" s="20"/>
      <c r="G159" s="146" t="s">
        <v>22</v>
      </c>
      <c r="H159" s="173"/>
      <c r="I159" s="148"/>
      <c r="J159" s="148"/>
      <c r="K159" s="241"/>
      <c r="L159" s="241" t="n">
        <f aca="false">M159+N159</f>
        <v>0</v>
      </c>
      <c r="M159" s="241"/>
      <c r="N159" s="150"/>
      <c r="O159" s="206"/>
      <c r="P159" s="149"/>
      <c r="Q159" s="149" t="n">
        <f aca="false">R159+S159</f>
        <v>0</v>
      </c>
      <c r="R159" s="149"/>
      <c r="S159" s="15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240"/>
      <c r="C160" s="19"/>
      <c r="D160" s="19"/>
      <c r="E160" s="19"/>
      <c r="F160" s="26" t="s">
        <v>285</v>
      </c>
      <c r="G160" s="152" t="s">
        <v>23</v>
      </c>
      <c r="H160" s="174" t="n">
        <v>6</v>
      </c>
      <c r="I160" s="154"/>
      <c r="J160" s="154"/>
      <c r="K160" s="242"/>
      <c r="L160" s="242" t="n">
        <f aca="false">M160+N160</f>
        <v>0</v>
      </c>
      <c r="M160" s="242"/>
      <c r="N160" s="156"/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33"/>
      <c r="B161" s="34" t="s">
        <v>112</v>
      </c>
      <c r="C161" s="35" t="s">
        <v>20</v>
      </c>
      <c r="D161" s="35" t="s">
        <v>197</v>
      </c>
      <c r="E161" s="35" t="s">
        <v>25</v>
      </c>
      <c r="F161" s="36"/>
      <c r="G161" s="158" t="s">
        <v>22</v>
      </c>
      <c r="H161" s="159" t="n">
        <v>18</v>
      </c>
      <c r="I161" s="160" t="n">
        <v>18</v>
      </c>
      <c r="J161" s="160" t="n">
        <v>25</v>
      </c>
      <c r="K161" s="140" t="n">
        <v>67287.76</v>
      </c>
      <c r="L161" s="140" t="n">
        <f aca="false">M161+N161</f>
        <v>56817.22</v>
      </c>
      <c r="M161" s="140" t="n">
        <v>23292.74</v>
      </c>
      <c r="N161" s="190" t="n">
        <v>33524.48</v>
      </c>
      <c r="O161" s="163" t="n">
        <v>6</v>
      </c>
      <c r="P161" s="161" t="n">
        <v>25423.03</v>
      </c>
      <c r="Q161" s="161" t="n">
        <f aca="false">R161+S161</f>
        <v>25423.03</v>
      </c>
      <c r="R161" s="161" t="n">
        <v>20244.62</v>
      </c>
      <c r="S161" s="190" t="n">
        <v>5178.41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26" t="s">
        <v>198</v>
      </c>
      <c r="G162" s="152" t="s">
        <v>26</v>
      </c>
      <c r="H162" s="171" t="n">
        <v>3</v>
      </c>
      <c r="I162" s="165" t="n">
        <v>1</v>
      </c>
      <c r="J162" s="165" t="n">
        <v>1</v>
      </c>
      <c r="K162" s="166" t="n">
        <v>1762</v>
      </c>
      <c r="L162" s="166" t="n">
        <f aca="false">M162+N162</f>
        <v>1321.5</v>
      </c>
      <c r="M162" s="166" t="n">
        <f aca="false">1321.5</f>
        <v>1321.5</v>
      </c>
      <c r="N162" s="156"/>
      <c r="O162" s="168" t="n">
        <v>2</v>
      </c>
      <c r="P162" s="166" t="n">
        <v>2114.4</v>
      </c>
      <c r="Q162" s="166" t="n">
        <f aca="false">R162+S162</f>
        <v>2114.4</v>
      </c>
      <c r="R162" s="166" t="n">
        <f aca="false">2114.4</f>
        <v>2114.4</v>
      </c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true" outlineLevel="0" collapsed="false">
      <c r="A163" s="17"/>
      <c r="B163" s="18" t="s">
        <v>113</v>
      </c>
      <c r="C163" s="19" t="s">
        <v>20</v>
      </c>
      <c r="D163" s="19"/>
      <c r="E163" s="19" t="s">
        <v>31</v>
      </c>
      <c r="F163" s="36"/>
      <c r="G163" s="146" t="s">
        <v>22</v>
      </c>
      <c r="H163" s="159" t="n">
        <v>15</v>
      </c>
      <c r="I163" s="148" t="n">
        <v>9</v>
      </c>
      <c r="J163" s="148" t="n">
        <v>12</v>
      </c>
      <c r="K163" s="149" t="n">
        <v>25824.49</v>
      </c>
      <c r="L163" s="149" t="n">
        <f aca="false">M163+N163</f>
        <v>25824.49</v>
      </c>
      <c r="M163" s="149" t="n">
        <v>14995.78</v>
      </c>
      <c r="N163" s="190" t="n">
        <v>10828.71</v>
      </c>
      <c r="O163" s="151" t="n">
        <v>8</v>
      </c>
      <c r="P163" s="149" t="n">
        <v>18834.43</v>
      </c>
      <c r="Q163" s="149" t="n">
        <f aca="false">R163+S163</f>
        <v>18834.43</v>
      </c>
      <c r="R163" s="149" t="n">
        <v>18834.43</v>
      </c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57"/>
      <c r="G164" s="152" t="s">
        <v>26</v>
      </c>
      <c r="H164" s="153"/>
      <c r="I164" s="154"/>
      <c r="J164" s="154"/>
      <c r="K164" s="155"/>
      <c r="L164" s="155" t="n">
        <f aca="false">M164+N164</f>
        <v>0</v>
      </c>
      <c r="M164" s="155"/>
      <c r="N164" s="156"/>
      <c r="O164" s="157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33"/>
      <c r="B165" s="34" t="s">
        <v>114</v>
      </c>
      <c r="C165" s="35" t="s">
        <v>20</v>
      </c>
      <c r="D165" s="95"/>
      <c r="E165" s="35" t="s">
        <v>25</v>
      </c>
      <c r="F165" s="71"/>
      <c r="G165" s="146" t="s">
        <v>22</v>
      </c>
      <c r="H165" s="169" t="n">
        <v>2</v>
      </c>
      <c r="I165" s="160"/>
      <c r="J165" s="160"/>
      <c r="K165" s="161"/>
      <c r="L165" s="161" t="n">
        <f aca="false">M165+N165</f>
        <v>0</v>
      </c>
      <c r="M165" s="161"/>
      <c r="N165" s="190"/>
      <c r="O165" s="163" t="n">
        <v>3</v>
      </c>
      <c r="P165" s="161" t="n">
        <v>4574.09</v>
      </c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 t="s">
        <v>274</v>
      </c>
      <c r="G166" s="164" t="s">
        <v>26</v>
      </c>
      <c r="H166" s="175" t="n">
        <v>5</v>
      </c>
      <c r="I166" s="165" t="n">
        <v>4</v>
      </c>
      <c r="J166" s="165" t="n">
        <v>4</v>
      </c>
      <c r="K166" s="166" t="n">
        <v>5044.32</v>
      </c>
      <c r="L166" s="166" t="n">
        <f aca="false">M166+N166</f>
        <v>1127.68</v>
      </c>
      <c r="M166" s="166" t="n">
        <f aca="false">1127.68</f>
        <v>1127.68</v>
      </c>
      <c r="N166" s="156"/>
      <c r="O166" s="168"/>
      <c r="P166" s="166"/>
      <c r="Q166" s="166" t="n">
        <f aca="false">R166+S166</f>
        <v>0</v>
      </c>
      <c r="R166" s="166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17"/>
      <c r="B167" s="18" t="s">
        <v>243</v>
      </c>
      <c r="C167" s="219"/>
      <c r="D167" s="19"/>
      <c r="E167" s="19"/>
      <c r="F167" s="20"/>
      <c r="G167" s="146" t="s">
        <v>22</v>
      </c>
      <c r="H167" s="173" t="n">
        <v>4</v>
      </c>
      <c r="I167" s="148" t="n">
        <v>3</v>
      </c>
      <c r="J167" s="148" t="n">
        <v>3</v>
      </c>
      <c r="K167" s="149" t="n">
        <v>4326.59</v>
      </c>
      <c r="L167" s="149" t="n">
        <f aca="false">M167+N167</f>
        <v>4062.29</v>
      </c>
      <c r="M167" s="149" t="n">
        <v>4062.29</v>
      </c>
      <c r="N167" s="190"/>
      <c r="O167" s="206"/>
      <c r="P167" s="149"/>
      <c r="Q167" s="149" t="n">
        <f aca="false">R167+S167</f>
        <v>0</v>
      </c>
      <c r="R167" s="149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 t="s">
        <v>275</v>
      </c>
      <c r="G168" s="152" t="s">
        <v>26</v>
      </c>
      <c r="H168" s="174" t="n">
        <v>6</v>
      </c>
      <c r="I168" s="154" t="n">
        <v>2</v>
      </c>
      <c r="J168" s="154" t="n">
        <v>2</v>
      </c>
      <c r="K168" s="155" t="n">
        <v>2114.4</v>
      </c>
      <c r="L168" s="155" t="n">
        <f aca="false">M168+N168</f>
        <v>3476.14</v>
      </c>
      <c r="M168" s="155" t="n">
        <f aca="false">3476.14</f>
        <v>3476.14</v>
      </c>
      <c r="N168" s="156"/>
      <c r="O168" s="209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54"/>
      <c r="B169" s="55" t="s">
        <v>200</v>
      </c>
      <c r="C169" s="220"/>
      <c r="D169" s="56"/>
      <c r="E169" s="56"/>
      <c r="F169" s="36"/>
      <c r="G169" s="158" t="s">
        <v>22</v>
      </c>
      <c r="H169" s="159" t="n">
        <v>25</v>
      </c>
      <c r="I169" s="160" t="n">
        <v>23</v>
      </c>
      <c r="J169" s="160" t="n">
        <v>25</v>
      </c>
      <c r="K169" s="161" t="n">
        <v>34525.76</v>
      </c>
      <c r="L169" s="161" t="n">
        <f aca="false">M169+N169</f>
        <v>22458.11</v>
      </c>
      <c r="M169" s="161" t="n">
        <v>14018.13</v>
      </c>
      <c r="N169" s="190" t="n">
        <v>8439.98</v>
      </c>
      <c r="O169" s="163"/>
      <c r="P169" s="161"/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54"/>
      <c r="B170" s="55"/>
      <c r="C170" s="55"/>
      <c r="D170" s="55"/>
      <c r="E170" s="55"/>
      <c r="F170" s="57"/>
      <c r="G170" s="152" t="s">
        <v>26</v>
      </c>
      <c r="H170" s="174" t="n">
        <v>4</v>
      </c>
      <c r="I170" s="154" t="n">
        <v>4</v>
      </c>
      <c r="J170" s="154" t="n">
        <v>4</v>
      </c>
      <c r="K170" s="155" t="n">
        <v>6046.1</v>
      </c>
      <c r="L170" s="155" t="n">
        <f aca="false">M170+N170</f>
        <v>7224.2</v>
      </c>
      <c r="M170" s="155" t="n">
        <f aca="false">4757.4+2466.8</f>
        <v>7224.2</v>
      </c>
      <c r="N170" s="156"/>
      <c r="O170" s="157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115</v>
      </c>
      <c r="C171" s="56" t="s">
        <v>20</v>
      </c>
      <c r="D171" s="56"/>
      <c r="E171" s="56" t="s">
        <v>116</v>
      </c>
      <c r="F171" s="36"/>
      <c r="G171" s="158" t="s">
        <v>22</v>
      </c>
      <c r="H171" s="159" t="n">
        <v>16</v>
      </c>
      <c r="I171" s="160" t="n">
        <v>15</v>
      </c>
      <c r="J171" s="160" t="n">
        <v>17</v>
      </c>
      <c r="K171" s="161" t="n">
        <v>15676.78</v>
      </c>
      <c r="L171" s="161" t="n">
        <f aca="false">M171+N171</f>
        <v>9503.97</v>
      </c>
      <c r="M171" s="161" t="n">
        <v>6070.98</v>
      </c>
      <c r="N171" s="190" t="n">
        <v>3432.99</v>
      </c>
      <c r="O171" s="163" t="n">
        <v>17</v>
      </c>
      <c r="P171" s="161" t="n">
        <v>40160.31</v>
      </c>
      <c r="Q171" s="161" t="n">
        <f aca="false">R171+S171</f>
        <v>38497.86</v>
      </c>
      <c r="R171" s="161" t="n">
        <v>22208.41</v>
      </c>
      <c r="S171" s="190" t="n">
        <v>16289.45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42" t="s">
        <v>201</v>
      </c>
      <c r="G172" s="164" t="s">
        <v>26</v>
      </c>
      <c r="H172" s="172" t="n">
        <v>9</v>
      </c>
      <c r="I172" s="165" t="n">
        <v>4</v>
      </c>
      <c r="J172" s="165" t="n">
        <v>4</v>
      </c>
      <c r="K172" s="166" t="n">
        <v>8915.72</v>
      </c>
      <c r="L172" s="161" t="n">
        <f aca="false">M172+N172</f>
        <v>1585.8</v>
      </c>
      <c r="M172" s="166" t="n">
        <v>1585.8</v>
      </c>
      <c r="N172" s="156"/>
      <c r="O172" s="168" t="n">
        <v>8</v>
      </c>
      <c r="P172" s="166" t="n">
        <v>881</v>
      </c>
      <c r="Q172" s="166" t="n">
        <f aca="false">R172+S172</f>
        <v>5286</v>
      </c>
      <c r="R172" s="166" t="n">
        <f aca="false">881+2114.4+2290.6</f>
        <v>5286</v>
      </c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true" outlineLevel="0" collapsed="false">
      <c r="A173" s="17"/>
      <c r="B173" s="18" t="s">
        <v>157</v>
      </c>
      <c r="C173" s="19"/>
      <c r="D173" s="19"/>
      <c r="E173" s="127"/>
      <c r="F173" s="22"/>
      <c r="G173" s="146" t="s">
        <v>22</v>
      </c>
      <c r="H173" s="147" t="n">
        <v>12</v>
      </c>
      <c r="I173" s="148" t="n">
        <v>5</v>
      </c>
      <c r="J173" s="148" t="n">
        <v>6</v>
      </c>
      <c r="K173" s="149" t="n">
        <v>11119.33</v>
      </c>
      <c r="L173" s="149" t="n">
        <f aca="false">M173+N173</f>
        <v>9520.31</v>
      </c>
      <c r="M173" s="149" t="n">
        <v>9520.31</v>
      </c>
      <c r="N173" s="190"/>
      <c r="O173" s="151"/>
      <c r="P173" s="149"/>
      <c r="Q173" s="149" t="n">
        <f aca="false">R173+S173</f>
        <v>0</v>
      </c>
      <c r="R173" s="149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false" outlineLevel="0" collapsed="false">
      <c r="A174" s="17"/>
      <c r="B174" s="18"/>
      <c r="C174" s="18"/>
      <c r="D174" s="18"/>
      <c r="E174" s="127"/>
      <c r="F174" s="26" t="s">
        <v>202</v>
      </c>
      <c r="G174" s="152" t="s">
        <v>26</v>
      </c>
      <c r="H174" s="176" t="n">
        <v>2</v>
      </c>
      <c r="I174" s="154"/>
      <c r="J174" s="154"/>
      <c r="K174" s="155"/>
      <c r="L174" s="155" t="n">
        <f aca="false">M174+N174</f>
        <v>0</v>
      </c>
      <c r="M174" s="155"/>
      <c r="N174" s="156"/>
      <c r="O174" s="157" t="n">
        <v>2</v>
      </c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33"/>
      <c r="B175" s="34" t="s">
        <v>117</v>
      </c>
      <c r="C175" s="35" t="s">
        <v>33</v>
      </c>
      <c r="D175" s="35" t="s">
        <v>118</v>
      </c>
      <c r="E175" s="74" t="s">
        <v>25</v>
      </c>
      <c r="F175" s="89"/>
      <c r="G175" s="158" t="s">
        <v>22</v>
      </c>
      <c r="H175" s="169"/>
      <c r="I175" s="160"/>
      <c r="J175" s="160"/>
      <c r="K175" s="161"/>
      <c r="L175" s="161" t="n">
        <f aca="false">M175+N175</f>
        <v>0</v>
      </c>
      <c r="M175" s="161"/>
      <c r="N175" s="190"/>
      <c r="O175" s="163"/>
      <c r="P175" s="161"/>
      <c r="Q175" s="161" t="n">
        <f aca="false">R175+S175</f>
        <v>0</v>
      </c>
      <c r="R175" s="161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33"/>
      <c r="B176" s="34"/>
      <c r="C176" s="34"/>
      <c r="D176" s="34"/>
      <c r="E176" s="34"/>
      <c r="F176" s="42"/>
      <c r="G176" s="158" t="s">
        <v>23</v>
      </c>
      <c r="H176" s="169"/>
      <c r="I176" s="160"/>
      <c r="J176" s="160"/>
      <c r="K176" s="161"/>
      <c r="L176" s="161" t="n">
        <f aca="false">M176+N176</f>
        <v>0</v>
      </c>
      <c r="M176" s="161"/>
      <c r="N176" s="167"/>
      <c r="O176" s="163" t="n">
        <v>2</v>
      </c>
      <c r="P176" s="161" t="n">
        <v>1762</v>
      </c>
      <c r="Q176" s="161" t="n">
        <v>1762</v>
      </c>
      <c r="R176" s="161" t="n">
        <v>1762</v>
      </c>
      <c r="S176" s="167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33"/>
      <c r="B177" s="34"/>
      <c r="C177" s="34"/>
      <c r="D177" s="34"/>
      <c r="E177" s="34"/>
      <c r="F177" s="42"/>
      <c r="G177" s="164" t="s">
        <v>26</v>
      </c>
      <c r="H177" s="153"/>
      <c r="I177" s="165"/>
      <c r="J177" s="165"/>
      <c r="K177" s="166"/>
      <c r="L177" s="166" t="n">
        <f aca="false">M177+N177</f>
        <v>0</v>
      </c>
      <c r="M177" s="166"/>
      <c r="N177" s="156"/>
      <c r="O177" s="168" t="n">
        <v>7</v>
      </c>
      <c r="P177" s="166" t="n">
        <v>4845.5</v>
      </c>
      <c r="Q177" s="166" t="n">
        <f aca="false">R177+S177</f>
        <v>5902.7</v>
      </c>
      <c r="R177" s="166" t="n">
        <f aca="false">1762+1278.41+2862.29</f>
        <v>5902.7</v>
      </c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17"/>
      <c r="B178" s="18" t="s">
        <v>119</v>
      </c>
      <c r="C178" s="19" t="s">
        <v>20</v>
      </c>
      <c r="D178" s="19"/>
      <c r="E178" s="19" t="s">
        <v>25</v>
      </c>
      <c r="F178" s="20"/>
      <c r="G178" s="146" t="s">
        <v>22</v>
      </c>
      <c r="H178" s="169"/>
      <c r="I178" s="148"/>
      <c r="J178" s="148"/>
      <c r="K178" s="149"/>
      <c r="L178" s="149" t="n">
        <f aca="false">M178+N178</f>
        <v>0</v>
      </c>
      <c r="M178" s="149"/>
      <c r="N178" s="190"/>
      <c r="O178" s="151" t="n">
        <v>2</v>
      </c>
      <c r="P178" s="149" t="n">
        <v>2643</v>
      </c>
      <c r="Q178" s="149" t="n">
        <f aca="false">R178+S178</f>
        <v>2643</v>
      </c>
      <c r="R178" s="149" t="n">
        <v>2643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17"/>
      <c r="B179" s="18"/>
      <c r="C179" s="18"/>
      <c r="D179" s="18"/>
      <c r="E179" s="18"/>
      <c r="F179" s="42" t="s">
        <v>203</v>
      </c>
      <c r="G179" s="164" t="s">
        <v>26</v>
      </c>
      <c r="H179" s="175" t="n">
        <v>4</v>
      </c>
      <c r="I179" s="165" t="n">
        <v>2</v>
      </c>
      <c r="J179" s="165" t="n">
        <v>2</v>
      </c>
      <c r="K179" s="166" t="n">
        <v>1233.4</v>
      </c>
      <c r="L179" s="166" t="n">
        <f aca="false">M179+N179</f>
        <v>1812.59</v>
      </c>
      <c r="M179" s="166" t="n">
        <f aca="false">704.8+1107.79</f>
        <v>1812.59</v>
      </c>
      <c r="N179" s="156"/>
      <c r="O179" s="168" t="n">
        <v>3</v>
      </c>
      <c r="P179" s="166" t="n">
        <v>7576.6</v>
      </c>
      <c r="Q179" s="166" t="n">
        <f aca="false">R179+S179</f>
        <v>11226.21</v>
      </c>
      <c r="R179" s="166" t="n">
        <f aca="false">7349.81+50.59+3825.81</f>
        <v>11226.21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225</v>
      </c>
      <c r="C180" s="19"/>
      <c r="D180" s="19"/>
      <c r="E180" s="19"/>
      <c r="F180" s="20"/>
      <c r="G180" s="146" t="s">
        <v>22</v>
      </c>
      <c r="H180" s="147"/>
      <c r="I180" s="148"/>
      <c r="J180" s="148"/>
      <c r="K180" s="149"/>
      <c r="L180" s="149" t="n">
        <f aca="false">M180+N180</f>
        <v>0</v>
      </c>
      <c r="M180" s="149"/>
      <c r="N180" s="190"/>
      <c r="O180" s="151"/>
      <c r="P180" s="149"/>
      <c r="Q180" s="149" t="n">
        <f aca="false">R180+S180</f>
        <v>0</v>
      </c>
      <c r="R180" s="149"/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17"/>
      <c r="B181" s="18"/>
      <c r="C181" s="18"/>
      <c r="D181" s="18"/>
      <c r="E181" s="18"/>
      <c r="F181" s="26" t="s">
        <v>244</v>
      </c>
      <c r="G181" s="152" t="s">
        <v>23</v>
      </c>
      <c r="H181" s="176" t="n">
        <v>16</v>
      </c>
      <c r="I181" s="154" t="n">
        <v>11</v>
      </c>
      <c r="J181" s="154" t="n">
        <v>11</v>
      </c>
      <c r="K181" s="155" t="n">
        <v>15020.8</v>
      </c>
      <c r="L181" s="155" t="n">
        <v>2863</v>
      </c>
      <c r="M181" s="155" t="n">
        <v>2863</v>
      </c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54"/>
      <c r="B182" s="55" t="s">
        <v>120</v>
      </c>
      <c r="C182" s="56" t="s">
        <v>20</v>
      </c>
      <c r="D182" s="56"/>
      <c r="E182" s="56" t="s">
        <v>25</v>
      </c>
      <c r="F182" s="36"/>
      <c r="G182" s="158" t="s">
        <v>22</v>
      </c>
      <c r="H182" s="169"/>
      <c r="I182" s="160"/>
      <c r="J182" s="160"/>
      <c r="K182" s="161"/>
      <c r="L182" s="161" t="n">
        <f aca="false">M182+N182</f>
        <v>0</v>
      </c>
      <c r="M182" s="161"/>
      <c r="N182" s="190"/>
      <c r="O182" s="163" t="n">
        <v>3</v>
      </c>
      <c r="P182" s="161" t="n">
        <v>3063.78</v>
      </c>
      <c r="Q182" s="161" t="n">
        <f aca="false">R182+S182</f>
        <v>3063.78</v>
      </c>
      <c r="R182" s="161" t="n">
        <v>3063.78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54"/>
      <c r="B183" s="55"/>
      <c r="C183" s="55"/>
      <c r="D183" s="55"/>
      <c r="E183" s="55"/>
      <c r="F183" s="71"/>
      <c r="G183" s="164" t="s">
        <v>26</v>
      </c>
      <c r="H183" s="175"/>
      <c r="I183" s="165"/>
      <c r="J183" s="165"/>
      <c r="K183" s="166"/>
      <c r="L183" s="166" t="n">
        <f aca="false">M183+N183</f>
        <v>0</v>
      </c>
      <c r="M183" s="166"/>
      <c r="N183" s="156"/>
      <c r="O183" s="168"/>
      <c r="P183" s="166"/>
      <c r="Q183" s="166" t="n">
        <f aca="false">R183+S183</f>
        <v>0</v>
      </c>
      <c r="R183" s="166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72"/>
      <c r="B184" s="18" t="s">
        <v>158</v>
      </c>
      <c r="C184" s="74"/>
      <c r="D184" s="56" t="s">
        <v>204</v>
      </c>
      <c r="E184" s="74"/>
      <c r="F184" s="53"/>
      <c r="G184" s="146" t="s">
        <v>22</v>
      </c>
      <c r="H184" s="195"/>
      <c r="I184" s="196"/>
      <c r="J184" s="196"/>
      <c r="K184" s="197"/>
      <c r="L184" s="197" t="n">
        <f aca="false">M184+N184</f>
        <v>0</v>
      </c>
      <c r="M184" s="197"/>
      <c r="N184" s="190"/>
      <c r="O184" s="199"/>
      <c r="P184" s="197"/>
      <c r="Q184" s="197" t="n">
        <f aca="false">R184+S184</f>
        <v>0</v>
      </c>
      <c r="R184" s="197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54"/>
      <c r="B185" s="18"/>
      <c r="C185" s="56"/>
      <c r="D185" s="56"/>
      <c r="E185" s="56"/>
      <c r="F185" s="138" t="s">
        <v>205</v>
      </c>
      <c r="G185" s="152" t="s">
        <v>26</v>
      </c>
      <c r="H185" s="153" t="n">
        <v>5</v>
      </c>
      <c r="I185" s="200" t="n">
        <v>2</v>
      </c>
      <c r="J185" s="200" t="n">
        <v>2</v>
      </c>
      <c r="K185" s="201" t="n">
        <v>3524</v>
      </c>
      <c r="L185" s="201" t="n">
        <f aca="false">M185+N185</f>
        <v>0</v>
      </c>
      <c r="M185" s="201"/>
      <c r="N185" s="156"/>
      <c r="O185" s="203"/>
      <c r="P185" s="201"/>
      <c r="Q185" s="201" t="n">
        <f aca="false">R185+S185</f>
        <v>0</v>
      </c>
      <c r="R185" s="201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33"/>
      <c r="B186" s="34" t="s">
        <v>152</v>
      </c>
      <c r="C186" s="35" t="s">
        <v>20</v>
      </c>
      <c r="D186" s="35"/>
      <c r="E186" s="35" t="s">
        <v>25</v>
      </c>
      <c r="F186" s="36"/>
      <c r="G186" s="158" t="s">
        <v>22</v>
      </c>
      <c r="H186" s="169"/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4</v>
      </c>
      <c r="P186" s="161" t="n">
        <v>7400.4</v>
      </c>
      <c r="Q186" s="161" t="n">
        <f aca="false">R186+S186</f>
        <v>7400.4</v>
      </c>
      <c r="R186" s="161" t="n">
        <v>7400.4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206</v>
      </c>
      <c r="G187" s="164" t="s">
        <v>26</v>
      </c>
      <c r="H187" s="171" t="n">
        <v>4</v>
      </c>
      <c r="I187" s="165"/>
      <c r="J187" s="165" t="n">
        <v>1</v>
      </c>
      <c r="K187" s="166" t="n">
        <v>704.8</v>
      </c>
      <c r="L187" s="166" t="n">
        <v>0</v>
      </c>
      <c r="M187" s="166" t="n">
        <f aca="false">4228.8</f>
        <v>4228.8</v>
      </c>
      <c r="N187" s="156"/>
      <c r="O187" s="168" t="n">
        <v>7</v>
      </c>
      <c r="P187" s="166" t="n">
        <v>7048</v>
      </c>
      <c r="Q187" s="161" t="n">
        <f aca="false">R187+S187</f>
        <v>12950.7</v>
      </c>
      <c r="R187" s="166" t="n">
        <f aca="false">2731.1+4228.8+5990.8</f>
        <v>12950.7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17"/>
      <c r="B188" s="18" t="s">
        <v>122</v>
      </c>
      <c r="C188" s="19" t="s">
        <v>20</v>
      </c>
      <c r="D188" s="19"/>
      <c r="E188" s="19" t="s">
        <v>116</v>
      </c>
      <c r="F188" s="20"/>
      <c r="G188" s="146" t="s">
        <v>22</v>
      </c>
      <c r="H188" s="159" t="n">
        <v>32</v>
      </c>
      <c r="I188" s="148" t="n">
        <v>29</v>
      </c>
      <c r="J188" s="148" t="n">
        <v>40</v>
      </c>
      <c r="K188" s="149" t="n">
        <v>64246.65</v>
      </c>
      <c r="L188" s="149" t="n">
        <f aca="false">M188+N188</f>
        <v>63069.56</v>
      </c>
      <c r="M188" s="149" t="n">
        <v>32759.12</v>
      </c>
      <c r="N188" s="190" t="n">
        <v>30310.44</v>
      </c>
      <c r="O188" s="151" t="n">
        <v>31</v>
      </c>
      <c r="P188" s="149" t="n">
        <v>112720.04</v>
      </c>
      <c r="Q188" s="149" t="n">
        <f aca="false">R188+S188</f>
        <v>112720.04</v>
      </c>
      <c r="R188" s="149" t="n">
        <v>61568.09</v>
      </c>
      <c r="S188" s="190" t="n">
        <v>51151.95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57"/>
      <c r="G189" s="152" t="s">
        <v>26</v>
      </c>
      <c r="H189" s="153"/>
      <c r="I189" s="154"/>
      <c r="J189" s="154"/>
      <c r="K189" s="155"/>
      <c r="L189" s="155" t="n">
        <f aca="false">M189+N189</f>
        <v>0</v>
      </c>
      <c r="M189" s="155"/>
      <c r="N189" s="156"/>
      <c r="O189" s="157"/>
      <c r="P189" s="155"/>
      <c r="Q189" s="155" t="n">
        <f aca="false">R189+S189</f>
        <v>0</v>
      </c>
      <c r="R189" s="155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33"/>
      <c r="B190" s="34" t="s">
        <v>123</v>
      </c>
      <c r="C190" s="35" t="s">
        <v>20</v>
      </c>
      <c r="D190" s="35"/>
      <c r="E190" s="35" t="s">
        <v>25</v>
      </c>
      <c r="F190" s="36"/>
      <c r="G190" s="146" t="s">
        <v>22</v>
      </c>
      <c r="H190" s="159" t="n">
        <v>6</v>
      </c>
      <c r="I190" s="160" t="n">
        <v>4</v>
      </c>
      <c r="J190" s="160" t="n">
        <v>4</v>
      </c>
      <c r="K190" s="161" t="n">
        <v>4193.56</v>
      </c>
      <c r="L190" s="161" t="n">
        <f aca="false">M190+N190</f>
        <v>4193.56</v>
      </c>
      <c r="M190" s="161" t="n">
        <v>4193.56</v>
      </c>
      <c r="N190" s="190"/>
      <c r="O190" s="163" t="n">
        <v>6</v>
      </c>
      <c r="P190" s="161" t="n">
        <v>10868.41</v>
      </c>
      <c r="Q190" s="161" t="n">
        <f aca="false">R190+S190</f>
        <v>10868.41</v>
      </c>
      <c r="R190" s="161" t="n">
        <v>10868.41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207</v>
      </c>
      <c r="G191" s="164" t="s">
        <v>26</v>
      </c>
      <c r="H191" s="153" t="n">
        <v>5</v>
      </c>
      <c r="I191" s="165" t="n">
        <v>1</v>
      </c>
      <c r="J191" s="165" t="n">
        <v>1</v>
      </c>
      <c r="K191" s="166" t="n">
        <v>920.5</v>
      </c>
      <c r="L191" s="161" t="n">
        <f aca="false">M191+N191</f>
        <v>0</v>
      </c>
      <c r="M191" s="166" t="n">
        <v>0</v>
      </c>
      <c r="N191" s="156"/>
      <c r="O191" s="168" t="n">
        <v>1</v>
      </c>
      <c r="P191" s="166"/>
      <c r="Q191" s="166" t="n">
        <f aca="false">R191+S191</f>
        <v>881</v>
      </c>
      <c r="R191" s="166" t="n">
        <f aca="false">881</f>
        <v>881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124</v>
      </c>
      <c r="C192" s="19" t="s">
        <v>20</v>
      </c>
      <c r="D192" s="19"/>
      <c r="E192" s="19" t="s">
        <v>88</v>
      </c>
      <c r="F192" s="20"/>
      <c r="G192" s="146" t="s">
        <v>22</v>
      </c>
      <c r="H192" s="159" t="n">
        <v>17</v>
      </c>
      <c r="I192" s="148" t="n">
        <v>12</v>
      </c>
      <c r="J192" s="148" t="n">
        <v>13</v>
      </c>
      <c r="K192" s="149" t="n">
        <v>23858.34</v>
      </c>
      <c r="L192" s="149" t="n">
        <f aca="false">M192+N192</f>
        <v>9941.39</v>
      </c>
      <c r="M192" s="149" t="n">
        <v>5959.27</v>
      </c>
      <c r="N192" s="190" t="n">
        <v>3982.12</v>
      </c>
      <c r="O192" s="151" t="n">
        <v>11</v>
      </c>
      <c r="P192" s="149" t="n">
        <v>25417.55</v>
      </c>
      <c r="Q192" s="149" t="n">
        <f aca="false">R192+S192</f>
        <v>21526.95</v>
      </c>
      <c r="R192" s="149" t="n">
        <v>19070.72</v>
      </c>
      <c r="S192" s="190" t="n">
        <v>2456.23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42" t="s">
        <v>245</v>
      </c>
      <c r="G193" s="164" t="s">
        <v>23</v>
      </c>
      <c r="H193" s="172" t="n">
        <v>11</v>
      </c>
      <c r="I193" s="165" t="n">
        <v>2</v>
      </c>
      <c r="J193" s="165" t="n">
        <v>2</v>
      </c>
      <c r="K193" s="166" t="n">
        <v>396.45</v>
      </c>
      <c r="L193" s="166" t="n">
        <v>0</v>
      </c>
      <c r="M193" s="166"/>
      <c r="N193" s="156"/>
      <c r="O193" s="168" t="n">
        <v>7</v>
      </c>
      <c r="P193" s="166" t="n">
        <v>10647.7</v>
      </c>
      <c r="Q193" s="166" t="n">
        <v>8092.8</v>
      </c>
      <c r="R193" s="166" t="n">
        <v>8092.8</v>
      </c>
      <c r="S193" s="156" t="n">
        <v>969.1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208</v>
      </c>
      <c r="C194" s="19"/>
      <c r="D194" s="19"/>
      <c r="E194" s="127"/>
      <c r="F194" s="20"/>
      <c r="G194" s="146" t="s">
        <v>22</v>
      </c>
      <c r="H194" s="173" t="n">
        <v>37</v>
      </c>
      <c r="I194" s="148" t="n">
        <v>25</v>
      </c>
      <c r="J194" s="148" t="n">
        <v>25</v>
      </c>
      <c r="K194" s="149" t="n">
        <v>31863.12</v>
      </c>
      <c r="L194" s="149" t="n">
        <f aca="false">M194+N194</f>
        <v>30664.96</v>
      </c>
      <c r="M194" s="149" t="n">
        <v>30664.96</v>
      </c>
      <c r="N194" s="190"/>
      <c r="O194" s="151"/>
      <c r="P194" s="149"/>
      <c r="Q194" s="149" t="n">
        <f aca="false">R194+S194</f>
        <v>0</v>
      </c>
      <c r="R194" s="149"/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28"/>
      <c r="F195" s="26" t="s">
        <v>246</v>
      </c>
      <c r="G195" s="152" t="s">
        <v>23</v>
      </c>
      <c r="H195" s="174" t="n">
        <v>10</v>
      </c>
      <c r="I195" s="154" t="n">
        <v>9</v>
      </c>
      <c r="J195" s="154" t="n">
        <v>9</v>
      </c>
      <c r="K195" s="155" t="n">
        <v>8934</v>
      </c>
      <c r="L195" s="155" t="n">
        <f aca="false">M195+N195</f>
        <v>881</v>
      </c>
      <c r="M195" s="155" t="n">
        <v>881</v>
      </c>
      <c r="N195" s="156"/>
      <c r="O195" s="157"/>
      <c r="P195" s="155"/>
      <c r="Q195" s="155" t="n">
        <f aca="false">R195+S195</f>
        <v>0</v>
      </c>
      <c r="R195" s="155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33"/>
      <c r="B196" s="34" t="s">
        <v>125</v>
      </c>
      <c r="C196" s="35" t="s">
        <v>33</v>
      </c>
      <c r="D196" s="35" t="s">
        <v>126</v>
      </c>
      <c r="E196" s="35" t="s">
        <v>127</v>
      </c>
      <c r="F196" s="36"/>
      <c r="G196" s="158" t="s">
        <v>22</v>
      </c>
      <c r="H196" s="159" t="n">
        <v>14</v>
      </c>
      <c r="I196" s="160" t="n">
        <v>10</v>
      </c>
      <c r="J196" s="160" t="n">
        <v>12</v>
      </c>
      <c r="K196" s="161" t="n">
        <v>33928.76</v>
      </c>
      <c r="L196" s="161" t="n">
        <f aca="false">M196+N196</f>
        <v>29800.18</v>
      </c>
      <c r="M196" s="161" t="n">
        <v>7126.5</v>
      </c>
      <c r="N196" s="190" t="n">
        <v>22673.68</v>
      </c>
      <c r="O196" s="163" t="n">
        <v>14</v>
      </c>
      <c r="P196" s="161" t="n">
        <v>33154.57</v>
      </c>
      <c r="Q196" s="161" t="n">
        <f aca="false">R196+S196</f>
        <v>33154.57</v>
      </c>
      <c r="R196" s="161" t="n">
        <v>32035.95</v>
      </c>
      <c r="S196" s="190" t="n">
        <v>1118.62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33"/>
      <c r="B197" s="34"/>
      <c r="C197" s="34"/>
      <c r="D197" s="34"/>
      <c r="E197" s="34"/>
      <c r="F197" s="42"/>
      <c r="G197" s="164" t="s">
        <v>23</v>
      </c>
      <c r="H197" s="171" t="n">
        <v>34</v>
      </c>
      <c r="I197" s="165" t="n">
        <v>8</v>
      </c>
      <c r="J197" s="165" t="n">
        <v>8</v>
      </c>
      <c r="K197" s="166" t="n">
        <v>13919.8</v>
      </c>
      <c r="L197" s="166" t="n">
        <v>5109.8</v>
      </c>
      <c r="M197" s="166" t="n">
        <v>5109.8</v>
      </c>
      <c r="N197" s="156" t="n">
        <v>5374.1</v>
      </c>
      <c r="O197" s="168" t="n">
        <v>22</v>
      </c>
      <c r="P197" s="166" t="n">
        <v>49345.2</v>
      </c>
      <c r="Q197" s="166" t="n">
        <v>29425.12</v>
      </c>
      <c r="R197" s="166" t="n">
        <v>29425.12</v>
      </c>
      <c r="S197" s="156" t="n">
        <v>2840.4</v>
      </c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" hidden="false" customHeight="true" outlineLevel="0" collapsed="false">
      <c r="A198" s="17"/>
      <c r="B198" s="18" t="s">
        <v>128</v>
      </c>
      <c r="C198" s="19" t="s">
        <v>20</v>
      </c>
      <c r="D198" s="19"/>
      <c r="E198" s="19" t="s">
        <v>25</v>
      </c>
      <c r="F198" s="20"/>
      <c r="G198" s="146" t="s">
        <v>22</v>
      </c>
      <c r="H198" s="159" t="n">
        <v>23</v>
      </c>
      <c r="I198" s="148" t="n">
        <v>14</v>
      </c>
      <c r="J198" s="148" t="n">
        <v>16</v>
      </c>
      <c r="K198" s="149" t="n">
        <v>17068.16</v>
      </c>
      <c r="L198" s="149" t="n">
        <f aca="false">M198+N198</f>
        <v>13365.9</v>
      </c>
      <c r="M198" s="149" t="n">
        <v>10868.49</v>
      </c>
      <c r="N198" s="190" t="n">
        <v>2497.41</v>
      </c>
      <c r="O198" s="151" t="n">
        <v>25</v>
      </c>
      <c r="P198" s="149" t="n">
        <v>47491.14</v>
      </c>
      <c r="Q198" s="149" t="n">
        <f aca="false">R198+S198</f>
        <v>42740.26</v>
      </c>
      <c r="R198" s="149" t="n">
        <v>42740.26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71"/>
      <c r="G199" s="164" t="s">
        <v>26</v>
      </c>
      <c r="H199" s="175"/>
      <c r="I199" s="165"/>
      <c r="J199" s="165"/>
      <c r="K199" s="166"/>
      <c r="L199" s="166" t="n">
        <f aca="false">M199+N199</f>
        <v>0</v>
      </c>
      <c r="M199" s="166"/>
      <c r="N199" s="156"/>
      <c r="O199" s="168"/>
      <c r="P199" s="166"/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17"/>
      <c r="B200" s="18" t="s">
        <v>227</v>
      </c>
      <c r="C200" s="19"/>
      <c r="D200" s="19"/>
      <c r="E200" s="19"/>
      <c r="F200" s="20"/>
      <c r="G200" s="204" t="s">
        <v>22</v>
      </c>
      <c r="H200" s="173" t="n">
        <v>5</v>
      </c>
      <c r="I200" s="148" t="n">
        <v>1</v>
      </c>
      <c r="J200" s="148" t="n">
        <v>1</v>
      </c>
      <c r="K200" s="149" t="n">
        <v>621.99</v>
      </c>
      <c r="L200" s="149" t="n">
        <f aca="false">M200+N200</f>
        <v>0</v>
      </c>
      <c r="M200" s="149"/>
      <c r="N200" s="190"/>
      <c r="O200" s="206"/>
      <c r="P200" s="149"/>
      <c r="Q200" s="149" t="n">
        <f aca="false">R200+S200</f>
        <v>0</v>
      </c>
      <c r="R200" s="149"/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57"/>
      <c r="G201" s="207" t="s">
        <v>26</v>
      </c>
      <c r="H201" s="174"/>
      <c r="I201" s="154"/>
      <c r="J201" s="154"/>
      <c r="K201" s="155"/>
      <c r="L201" s="155" t="n">
        <f aca="false">M201+N201</f>
        <v>0</v>
      </c>
      <c r="M201" s="155"/>
      <c r="N201" s="156"/>
      <c r="O201" s="209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33"/>
      <c r="B202" s="34" t="s">
        <v>129</v>
      </c>
      <c r="C202" s="35" t="s">
        <v>38</v>
      </c>
      <c r="D202" s="35" t="s">
        <v>130</v>
      </c>
      <c r="E202" s="35" t="s">
        <v>25</v>
      </c>
      <c r="F202" s="36"/>
      <c r="G202" s="158" t="s">
        <v>22</v>
      </c>
      <c r="H202" s="159" t="n">
        <v>11</v>
      </c>
      <c r="I202" s="160" t="n">
        <v>10</v>
      </c>
      <c r="J202" s="160" t="n">
        <v>10</v>
      </c>
      <c r="K202" s="161" t="n">
        <v>8519.19</v>
      </c>
      <c r="L202" s="161" t="n">
        <f aca="false">M202+N202</f>
        <v>8519.19</v>
      </c>
      <c r="M202" s="161" t="n">
        <v>5680.61</v>
      </c>
      <c r="N202" s="190" t="n">
        <v>2838.58</v>
      </c>
      <c r="O202" s="163" t="n">
        <v>5</v>
      </c>
      <c r="P202" s="161" t="n">
        <v>66458.37</v>
      </c>
      <c r="Q202" s="161" t="n">
        <f aca="false">R202+S202</f>
        <v>66458.37</v>
      </c>
      <c r="R202" s="161" t="n">
        <v>44463.45</v>
      </c>
      <c r="S202" s="190" t="n">
        <v>21994.92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33"/>
      <c r="B203" s="34"/>
      <c r="C203" s="34"/>
      <c r="D203" s="34"/>
      <c r="E203" s="34"/>
      <c r="F203" s="42" t="s">
        <v>209</v>
      </c>
      <c r="G203" s="164" t="s">
        <v>26</v>
      </c>
      <c r="H203" s="153" t="n">
        <v>5</v>
      </c>
      <c r="I203" s="165" t="n">
        <v>1</v>
      </c>
      <c r="J203" s="165" t="n">
        <v>1</v>
      </c>
      <c r="K203" s="166" t="n">
        <v>1762</v>
      </c>
      <c r="L203" s="161" t="n">
        <f aca="false">M203+N203</f>
        <v>1762</v>
      </c>
      <c r="M203" s="166" t="n">
        <f aca="false">1762</f>
        <v>1762</v>
      </c>
      <c r="N203" s="156"/>
      <c r="O203" s="168" t="n">
        <v>7</v>
      </c>
      <c r="P203" s="166" t="n">
        <v>20590.6</v>
      </c>
      <c r="Q203" s="166" t="n">
        <f aca="false">R203+S203</f>
        <v>22040.1</v>
      </c>
      <c r="R203" s="166" t="n">
        <f aca="false">881+881+14612.2+1409.5+4256.4</f>
        <v>22040.1</v>
      </c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17"/>
      <c r="B204" s="18" t="s">
        <v>131</v>
      </c>
      <c r="C204" s="19" t="s">
        <v>38</v>
      </c>
      <c r="D204" s="19" t="s">
        <v>130</v>
      </c>
      <c r="E204" s="19" t="s">
        <v>25</v>
      </c>
      <c r="F204" s="20"/>
      <c r="G204" s="146" t="s">
        <v>22</v>
      </c>
      <c r="H204" s="159" t="n">
        <v>10</v>
      </c>
      <c r="I204" s="148" t="n">
        <v>9</v>
      </c>
      <c r="J204" s="148" t="n">
        <v>15</v>
      </c>
      <c r="K204" s="149" t="n">
        <v>44926.64</v>
      </c>
      <c r="L204" s="149" t="n">
        <f aca="false">M204+N204</f>
        <v>31320.86</v>
      </c>
      <c r="M204" s="149" t="n">
        <v>25996.1</v>
      </c>
      <c r="N204" s="190" t="n">
        <v>5324.76</v>
      </c>
      <c r="O204" s="151" t="n">
        <v>16</v>
      </c>
      <c r="P204" s="149" t="n">
        <v>159038.28</v>
      </c>
      <c r="Q204" s="149" t="n">
        <f aca="false">R204+S204</f>
        <v>151501.71</v>
      </c>
      <c r="R204" s="149" t="n">
        <v>58274.05</v>
      </c>
      <c r="S204" s="198" t="n">
        <v>93227.66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17"/>
      <c r="B205" s="18"/>
      <c r="C205" s="18"/>
      <c r="D205" s="18"/>
      <c r="E205" s="18"/>
      <c r="F205" s="26" t="s">
        <v>210</v>
      </c>
      <c r="G205" s="152" t="s">
        <v>26</v>
      </c>
      <c r="H205" s="153" t="n">
        <v>5</v>
      </c>
      <c r="I205" s="154" t="n">
        <v>4</v>
      </c>
      <c r="J205" s="154" t="n">
        <v>4</v>
      </c>
      <c r="K205" s="155" t="n">
        <v>3034.9</v>
      </c>
      <c r="L205" s="155" t="n">
        <f aca="false">M205+N205</f>
        <v>2114.4</v>
      </c>
      <c r="M205" s="155" t="n">
        <f aca="false">1585.8+528.6</f>
        <v>2114.4</v>
      </c>
      <c r="N205" s="156"/>
      <c r="O205" s="157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33"/>
      <c r="B206" s="34" t="s">
        <v>132</v>
      </c>
      <c r="C206" s="35" t="s">
        <v>20</v>
      </c>
      <c r="D206" s="35"/>
      <c r="E206" s="35" t="s">
        <v>69</v>
      </c>
      <c r="F206" s="38"/>
      <c r="G206" s="146" t="s">
        <v>22</v>
      </c>
      <c r="H206" s="159" t="n">
        <v>12</v>
      </c>
      <c r="I206" s="160" t="n">
        <v>8</v>
      </c>
      <c r="J206" s="160" t="n">
        <v>12</v>
      </c>
      <c r="K206" s="161" t="n">
        <v>26202.27</v>
      </c>
      <c r="L206" s="161" t="n">
        <f aca="false">M206+N206</f>
        <v>23368.97</v>
      </c>
      <c r="M206" s="161" t="n">
        <v>23368.97</v>
      </c>
      <c r="N206" s="190"/>
      <c r="O206" s="163" t="n">
        <v>13</v>
      </c>
      <c r="P206" s="161" t="n">
        <v>43004.3</v>
      </c>
      <c r="Q206" s="161" t="n">
        <f aca="false">R206+S206</f>
        <v>39943.71</v>
      </c>
      <c r="R206" s="161" t="n">
        <v>39943.71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6.5" hidden="false" customHeight="true" outlineLevel="0" collapsed="false">
      <c r="A207" s="33"/>
      <c r="B207" s="34"/>
      <c r="C207" s="34"/>
      <c r="D207" s="34"/>
      <c r="E207" s="34"/>
      <c r="F207" s="42" t="s">
        <v>211</v>
      </c>
      <c r="G207" s="164" t="s">
        <v>26</v>
      </c>
      <c r="H207" s="153" t="n">
        <v>8</v>
      </c>
      <c r="I207" s="165" t="n">
        <v>3</v>
      </c>
      <c r="J207" s="165" t="n">
        <v>3</v>
      </c>
      <c r="K207" s="166" t="n">
        <v>10184.36</v>
      </c>
      <c r="L207" s="166" t="n">
        <f aca="false">M207+N207</f>
        <v>0</v>
      </c>
      <c r="M207" s="166"/>
      <c r="N207" s="156"/>
      <c r="O207" s="168" t="n">
        <v>1</v>
      </c>
      <c r="P207" s="166" t="n">
        <v>3700.2</v>
      </c>
      <c r="Q207" s="166" t="n">
        <f aca="false">R207+S207</f>
        <v>0</v>
      </c>
      <c r="R207" s="166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72"/>
      <c r="B208" s="73" t="s">
        <v>133</v>
      </c>
      <c r="C208" s="74" t="s">
        <v>20</v>
      </c>
      <c r="D208" s="74"/>
      <c r="E208" s="74" t="s">
        <v>25</v>
      </c>
      <c r="F208" s="22"/>
      <c r="G208" s="146" t="s">
        <v>22</v>
      </c>
      <c r="H208" s="159" t="n">
        <v>4</v>
      </c>
      <c r="I208" s="148" t="n">
        <v>4</v>
      </c>
      <c r="J208" s="148" t="n">
        <v>5</v>
      </c>
      <c r="K208" s="149" t="n">
        <v>7984.73</v>
      </c>
      <c r="L208" s="149" t="n">
        <f aca="false">M208+N208</f>
        <v>7984.73</v>
      </c>
      <c r="M208" s="149" t="n">
        <v>7984.73</v>
      </c>
      <c r="N208" s="190"/>
      <c r="O208" s="151" t="n">
        <v>2</v>
      </c>
      <c r="P208" s="149" t="n">
        <v>4329.79</v>
      </c>
      <c r="Q208" s="149" t="n">
        <f aca="false">R208+S208</f>
        <v>4329.79</v>
      </c>
      <c r="R208" s="149" t="n">
        <v>4329.79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72"/>
      <c r="B209" s="73"/>
      <c r="C209" s="73"/>
      <c r="D209" s="73"/>
      <c r="E209" s="73"/>
      <c r="F209" s="42" t="s">
        <v>212</v>
      </c>
      <c r="G209" s="164" t="s">
        <v>26</v>
      </c>
      <c r="H209" s="171" t="n">
        <v>4</v>
      </c>
      <c r="I209" s="165" t="n">
        <v>1</v>
      </c>
      <c r="J209" s="165" t="n">
        <v>1</v>
      </c>
      <c r="K209" s="166" t="n">
        <v>1409.6</v>
      </c>
      <c r="L209" s="166" t="n">
        <f aca="false">M209+N209</f>
        <v>1409.6</v>
      </c>
      <c r="M209" s="166" t="n">
        <f aca="false">1409.6</f>
        <v>1409.6</v>
      </c>
      <c r="N209" s="156"/>
      <c r="O209" s="168" t="n">
        <v>2</v>
      </c>
      <c r="P209" s="166" t="n">
        <v>1321.5</v>
      </c>
      <c r="Q209" s="166" t="n">
        <f aca="false">R209+S209</f>
        <v>2907.3</v>
      </c>
      <c r="R209" s="166" t="n">
        <f aca="false">1321.5+1585.8</f>
        <v>2907.3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72"/>
      <c r="B210" s="73" t="s">
        <v>134</v>
      </c>
      <c r="C210" s="74" t="s">
        <v>20</v>
      </c>
      <c r="D210" s="74"/>
      <c r="E210" s="74" t="s">
        <v>25</v>
      </c>
      <c r="F210" s="20"/>
      <c r="G210" s="146" t="s">
        <v>22</v>
      </c>
      <c r="H210" s="169"/>
      <c r="I210" s="148"/>
      <c r="J210" s="148"/>
      <c r="K210" s="149"/>
      <c r="L210" s="149" t="n">
        <f aca="false">M210+N210</f>
        <v>0</v>
      </c>
      <c r="M210" s="149"/>
      <c r="N210" s="190"/>
      <c r="O210" s="151" t="n">
        <v>1</v>
      </c>
      <c r="P210" s="149" t="n">
        <v>13019.26</v>
      </c>
      <c r="Q210" s="149" t="n">
        <f aca="false">R210+S210</f>
        <v>13019.26</v>
      </c>
      <c r="R210" s="149" t="n">
        <v>13019.26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72"/>
      <c r="B211" s="73"/>
      <c r="C211" s="73"/>
      <c r="D211" s="73"/>
      <c r="E211" s="73"/>
      <c r="F211" s="42" t="s">
        <v>213</v>
      </c>
      <c r="G211" s="164" t="s">
        <v>26</v>
      </c>
      <c r="H211" s="153" t="n">
        <v>3</v>
      </c>
      <c r="I211" s="165" t="n">
        <v>1</v>
      </c>
      <c r="J211" s="165" t="n">
        <v>1</v>
      </c>
      <c r="K211" s="166" t="n">
        <v>552.3</v>
      </c>
      <c r="L211" s="166" t="n">
        <f aca="false">M211+N211</f>
        <v>0</v>
      </c>
      <c r="M211" s="166"/>
      <c r="N211" s="156"/>
      <c r="O211" s="168" t="n">
        <v>6</v>
      </c>
      <c r="P211" s="166" t="n">
        <v>23840.15</v>
      </c>
      <c r="Q211" s="166" t="n">
        <f aca="false">R211+S211</f>
        <v>28509.42</v>
      </c>
      <c r="R211" s="166" t="n">
        <f aca="false">19875.62+8633.8</f>
        <v>28509.42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17"/>
      <c r="B212" s="18" t="s">
        <v>135</v>
      </c>
      <c r="C212" s="19" t="s">
        <v>20</v>
      </c>
      <c r="D212" s="19"/>
      <c r="E212" s="19" t="s">
        <v>69</v>
      </c>
      <c r="F212" s="22"/>
      <c r="G212" s="146" t="s">
        <v>22</v>
      </c>
      <c r="H212" s="159" t="n">
        <v>13</v>
      </c>
      <c r="I212" s="148" t="n">
        <v>7</v>
      </c>
      <c r="J212" s="148" t="n">
        <v>8</v>
      </c>
      <c r="K212" s="149" t="n">
        <v>16705.49</v>
      </c>
      <c r="L212" s="149" t="n">
        <f aca="false">M212+N212</f>
        <v>11754.09</v>
      </c>
      <c r="M212" s="149" t="n">
        <v>5321.24</v>
      </c>
      <c r="N212" s="190" t="n">
        <v>6432.85</v>
      </c>
      <c r="O212" s="151" t="n">
        <v>13</v>
      </c>
      <c r="P212" s="149" t="n">
        <v>42132.95</v>
      </c>
      <c r="Q212" s="149" t="n">
        <f aca="false">R212+S212</f>
        <v>42132.95</v>
      </c>
      <c r="R212" s="149" t="n">
        <v>42132.95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17"/>
      <c r="B213" s="18"/>
      <c r="C213" s="18"/>
      <c r="D213" s="18"/>
      <c r="E213" s="18"/>
      <c r="F213" s="26" t="s">
        <v>277</v>
      </c>
      <c r="G213" s="152" t="s">
        <v>26</v>
      </c>
      <c r="H213" s="171" t="n">
        <v>7</v>
      </c>
      <c r="I213" s="154"/>
      <c r="J213" s="154" t="n">
        <v>2</v>
      </c>
      <c r="K213" s="155" t="n">
        <v>1409.6</v>
      </c>
      <c r="L213" s="155" t="n">
        <f aca="false">M213+N213</f>
        <v>0</v>
      </c>
      <c r="M213" s="155"/>
      <c r="N213" s="156"/>
      <c r="O213" s="157" t="n">
        <v>2</v>
      </c>
      <c r="P213" s="155" t="n">
        <v>2292.9</v>
      </c>
      <c r="Q213" s="155" t="n">
        <f aca="false">R213+S213</f>
        <v>792.9</v>
      </c>
      <c r="R213" s="155" t="n">
        <f aca="false">792.9</f>
        <v>792.9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33"/>
      <c r="B214" s="34" t="s">
        <v>136</v>
      </c>
      <c r="C214" s="35" t="s">
        <v>20</v>
      </c>
      <c r="D214" s="35"/>
      <c r="E214" s="35" t="s">
        <v>98</v>
      </c>
      <c r="F214" s="36"/>
      <c r="G214" s="146" t="s">
        <v>22</v>
      </c>
      <c r="H214" s="159" t="n">
        <v>21</v>
      </c>
      <c r="I214" s="160" t="n">
        <v>14</v>
      </c>
      <c r="J214" s="160" t="n">
        <v>21</v>
      </c>
      <c r="K214" s="161" t="n">
        <v>39745.81</v>
      </c>
      <c r="L214" s="161" t="n">
        <f aca="false">M214+N214</f>
        <v>27069.8</v>
      </c>
      <c r="M214" s="161" t="n">
        <v>20218.61</v>
      </c>
      <c r="N214" s="190" t="n">
        <v>6851.19</v>
      </c>
      <c r="O214" s="163" t="n">
        <v>11</v>
      </c>
      <c r="P214" s="161" t="n">
        <v>23371.27</v>
      </c>
      <c r="Q214" s="161" t="n">
        <f aca="false">R214+S214</f>
        <v>14877.54</v>
      </c>
      <c r="R214" s="161" t="n">
        <v>14877.54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33"/>
      <c r="B215" s="34"/>
      <c r="C215" s="34"/>
      <c r="D215" s="34"/>
      <c r="E215" s="34"/>
      <c r="F215" s="42" t="s">
        <v>247</v>
      </c>
      <c r="G215" s="164" t="s">
        <v>23</v>
      </c>
      <c r="H215" s="171" t="n">
        <v>7</v>
      </c>
      <c r="I215" s="165" t="n">
        <v>6</v>
      </c>
      <c r="J215" s="165" t="n">
        <v>6</v>
      </c>
      <c r="K215" s="166" t="n">
        <v>4581.2</v>
      </c>
      <c r="L215" s="166" t="n">
        <f aca="false">M215+N215</f>
        <v>4052.6</v>
      </c>
      <c r="M215" s="166" t="n">
        <v>4052.6</v>
      </c>
      <c r="N215" s="156"/>
      <c r="O215" s="168" t="n">
        <v>8</v>
      </c>
      <c r="P215" s="166" t="n">
        <v>15505.6</v>
      </c>
      <c r="Q215" s="166" t="n">
        <v>5638.4</v>
      </c>
      <c r="R215" s="166" t="n">
        <v>5638.4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17"/>
      <c r="B216" s="18" t="s">
        <v>137</v>
      </c>
      <c r="C216" s="19" t="s">
        <v>20</v>
      </c>
      <c r="D216" s="19"/>
      <c r="E216" s="19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13</v>
      </c>
      <c r="P216" s="149" t="n">
        <v>44496.85</v>
      </c>
      <c r="Q216" s="149" t="n">
        <f aca="false">R216+S216</f>
        <v>0</v>
      </c>
      <c r="R216" s="149"/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20.25" hidden="false" customHeight="true" outlineLevel="0" collapsed="false">
      <c r="A217" s="17"/>
      <c r="B217" s="18"/>
      <c r="C217" s="18"/>
      <c r="D217" s="18"/>
      <c r="E217" s="18"/>
      <c r="F217" s="26" t="s">
        <v>286</v>
      </c>
      <c r="G217" s="152" t="s">
        <v>26</v>
      </c>
      <c r="H217" s="153" t="n">
        <v>9</v>
      </c>
      <c r="I217" s="154" t="n">
        <v>1</v>
      </c>
      <c r="J217" s="154" t="n">
        <v>1</v>
      </c>
      <c r="K217" s="155" t="n">
        <v>1938.2</v>
      </c>
      <c r="L217" s="155" t="n">
        <f aca="false">M217+N217</f>
        <v>0</v>
      </c>
      <c r="M217" s="155"/>
      <c r="N217" s="156"/>
      <c r="O217" s="157"/>
      <c r="P217" s="155"/>
      <c r="Q217" s="155" t="n">
        <f aca="false">R217+S217</f>
        <v>0</v>
      </c>
      <c r="R217" s="155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54"/>
      <c r="B218" s="55" t="s">
        <v>138</v>
      </c>
      <c r="C218" s="56" t="s">
        <v>33</v>
      </c>
      <c r="D218" s="56" t="s">
        <v>139</v>
      </c>
      <c r="E218" s="56" t="s">
        <v>25</v>
      </c>
      <c r="F218" s="36"/>
      <c r="G218" s="146" t="s">
        <v>22</v>
      </c>
      <c r="H218" s="169"/>
      <c r="I218" s="160"/>
      <c r="J218" s="160"/>
      <c r="K218" s="161"/>
      <c r="L218" s="161" t="n">
        <f aca="false">M218+N218</f>
        <v>0</v>
      </c>
      <c r="M218" s="161"/>
      <c r="N218" s="190"/>
      <c r="O218" s="163"/>
      <c r="P218" s="161"/>
      <c r="Q218" s="161" t="n">
        <f aca="false">R218+S218</f>
        <v>0</v>
      </c>
      <c r="R218" s="161"/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54"/>
      <c r="B219" s="55"/>
      <c r="C219" s="55"/>
      <c r="D219" s="55"/>
      <c r="E219" s="55"/>
      <c r="F219" s="26" t="s">
        <v>214</v>
      </c>
      <c r="G219" s="152" t="s">
        <v>26</v>
      </c>
      <c r="H219" s="171" t="n">
        <v>5</v>
      </c>
      <c r="I219" s="154" t="n">
        <v>2</v>
      </c>
      <c r="J219" s="154" t="n">
        <v>2</v>
      </c>
      <c r="K219" s="155" t="n">
        <v>4158.32</v>
      </c>
      <c r="L219" s="155" t="n">
        <f aca="false">M219+N219</f>
        <v>4158.32</v>
      </c>
      <c r="M219" s="155" t="n">
        <f aca="false">2466.8+1691.52</f>
        <v>4158.32</v>
      </c>
      <c r="N219" s="156"/>
      <c r="O219" s="157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true" outlineLevel="0" collapsed="false">
      <c r="A220" s="33"/>
      <c r="B220" s="34" t="s">
        <v>140</v>
      </c>
      <c r="C220" s="35" t="s">
        <v>20</v>
      </c>
      <c r="D220" s="35"/>
      <c r="E220" s="35" t="s">
        <v>141</v>
      </c>
      <c r="F220" s="36"/>
      <c r="G220" s="146" t="s">
        <v>22</v>
      </c>
      <c r="H220" s="159" t="n">
        <v>16</v>
      </c>
      <c r="I220" s="160" t="n">
        <v>14</v>
      </c>
      <c r="J220" s="160" t="n">
        <v>21</v>
      </c>
      <c r="K220" s="161" t="n">
        <v>33782.9</v>
      </c>
      <c r="L220" s="161" t="n">
        <f aca="false">M220+N220</f>
        <v>16759.36</v>
      </c>
      <c r="M220" s="161" t="n">
        <v>16759.36</v>
      </c>
      <c r="N220" s="190"/>
      <c r="O220" s="163" t="n">
        <v>12</v>
      </c>
      <c r="P220" s="161" t="n">
        <v>72912.46</v>
      </c>
      <c r="Q220" s="161" t="n">
        <f aca="false">R220+S220</f>
        <v>65251.23</v>
      </c>
      <c r="R220" s="161" t="n">
        <v>24064.99</v>
      </c>
      <c r="S220" s="190" t="n">
        <v>41186.24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215</v>
      </c>
      <c r="G221" s="164" t="s">
        <v>26</v>
      </c>
      <c r="H221" s="175" t="n">
        <v>2</v>
      </c>
      <c r="I221" s="165"/>
      <c r="J221" s="165"/>
      <c r="K221" s="166"/>
      <c r="L221" s="166" t="n">
        <f aca="false">M221+N221</f>
        <v>0</v>
      </c>
      <c r="M221" s="166"/>
      <c r="N221" s="156"/>
      <c r="O221" s="168"/>
      <c r="P221" s="166"/>
      <c r="Q221" s="166" t="n">
        <f aca="false">R221+S221</f>
        <v>0</v>
      </c>
      <c r="R221" s="166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251</v>
      </c>
      <c r="C222" s="19" t="s">
        <v>20</v>
      </c>
      <c r="D222" s="19"/>
      <c r="E222" s="19" t="s">
        <v>116</v>
      </c>
      <c r="F222" s="20"/>
      <c r="G222" s="146" t="s">
        <v>22</v>
      </c>
      <c r="H222" s="173" t="n">
        <v>6</v>
      </c>
      <c r="I222" s="148" t="n">
        <v>3</v>
      </c>
      <c r="J222" s="148" t="n">
        <v>3</v>
      </c>
      <c r="K222" s="149" t="n">
        <v>3851.92</v>
      </c>
      <c r="L222" s="166" t="n">
        <f aca="false">M222+N222</f>
        <v>3851.92</v>
      </c>
      <c r="M222" s="149"/>
      <c r="N222" s="190" t="n">
        <v>3851.92</v>
      </c>
      <c r="O222" s="206"/>
      <c r="P222" s="149"/>
      <c r="Q222" s="149"/>
      <c r="R222" s="149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252</v>
      </c>
      <c r="G223" s="152" t="s">
        <v>26</v>
      </c>
      <c r="H223" s="174" t="n">
        <v>7</v>
      </c>
      <c r="I223" s="154"/>
      <c r="J223" s="154"/>
      <c r="K223" s="155"/>
      <c r="L223" s="166" t="n">
        <f aca="false">M223+N223</f>
        <v>0</v>
      </c>
      <c r="M223" s="155"/>
      <c r="N223" s="156"/>
      <c r="O223" s="209"/>
      <c r="P223" s="155"/>
      <c r="Q223" s="155"/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142</v>
      </c>
      <c r="C224" s="56" t="s">
        <v>20</v>
      </c>
      <c r="D224" s="56"/>
      <c r="E224" s="56" t="s">
        <v>25</v>
      </c>
      <c r="F224" s="36"/>
      <c r="G224" s="158" t="s">
        <v>22</v>
      </c>
      <c r="H224" s="173" t="n">
        <v>5</v>
      </c>
      <c r="I224" s="148" t="n">
        <v>4</v>
      </c>
      <c r="J224" s="148" t="n">
        <v>4</v>
      </c>
      <c r="K224" s="149" t="n">
        <v>3418.28</v>
      </c>
      <c r="L224" s="149" t="n">
        <f aca="false">M224+N224</f>
        <v>3418.28</v>
      </c>
      <c r="M224" s="149" t="n">
        <v>3418.28</v>
      </c>
      <c r="N224" s="190"/>
      <c r="O224" s="228" t="n">
        <v>6</v>
      </c>
      <c r="P224" s="161" t="n">
        <v>10969.43</v>
      </c>
      <c r="Q224" s="161" t="n">
        <f aca="false">R224+S224</f>
        <v>8844.46</v>
      </c>
      <c r="R224" s="161" t="n">
        <v>8844.46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42" t="s">
        <v>216</v>
      </c>
      <c r="G225" s="164" t="s">
        <v>26</v>
      </c>
      <c r="H225" s="177" t="n">
        <v>9</v>
      </c>
      <c r="I225" s="165" t="n">
        <v>4</v>
      </c>
      <c r="J225" s="165" t="n">
        <v>4</v>
      </c>
      <c r="K225" s="166" t="n">
        <v>8384.1</v>
      </c>
      <c r="L225" s="166" t="n">
        <f aca="false">M225+N225</f>
        <v>5990.8</v>
      </c>
      <c r="M225" s="166" t="n">
        <f aca="false">5167.21+823.59</f>
        <v>5990.8</v>
      </c>
      <c r="N225" s="167"/>
      <c r="O225" s="238" t="n">
        <v>12</v>
      </c>
      <c r="P225" s="166" t="n">
        <v>7343.2</v>
      </c>
      <c r="Q225" s="166" t="n">
        <f aca="false">R225+S225</f>
        <v>8633.8</v>
      </c>
      <c r="R225" s="166" t="n">
        <f aca="false">823.59+1233.4+2819.2+3757.61</f>
        <v>8633.8</v>
      </c>
      <c r="S225" s="167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287</v>
      </c>
      <c r="C226" s="56" t="s">
        <v>20</v>
      </c>
      <c r="D226" s="19"/>
      <c r="E226" s="56" t="s">
        <v>25</v>
      </c>
      <c r="F226" s="20"/>
      <c r="G226" s="146" t="s">
        <v>22</v>
      </c>
      <c r="H226" s="147"/>
      <c r="I226" s="148"/>
      <c r="J226" s="148"/>
      <c r="K226" s="149"/>
      <c r="L226" s="149" t="n">
        <f aca="false">M226+N226</f>
        <v>0</v>
      </c>
      <c r="M226" s="149"/>
      <c r="N226" s="150"/>
      <c r="O226" s="206"/>
      <c r="P226" s="149"/>
      <c r="Q226" s="149" t="n">
        <f aca="false">R226+S226</f>
        <v>0</v>
      </c>
      <c r="R226" s="149"/>
      <c r="S226" s="15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288</v>
      </c>
      <c r="G227" s="152" t="s">
        <v>26</v>
      </c>
      <c r="H227" s="176" t="n">
        <v>4</v>
      </c>
      <c r="I227" s="154" t="n">
        <v>3</v>
      </c>
      <c r="J227" s="154" t="n">
        <v>3</v>
      </c>
      <c r="K227" s="155" t="n">
        <v>3171.6</v>
      </c>
      <c r="L227" s="155" t="n">
        <f aca="false">M227+N227</f>
        <v>3171.6</v>
      </c>
      <c r="M227" s="155" t="n">
        <f aca="false">3171.6</f>
        <v>3171.6</v>
      </c>
      <c r="N227" s="156"/>
      <c r="O227" s="209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33"/>
      <c r="B228" s="34" t="s">
        <v>143</v>
      </c>
      <c r="C228" s="35" t="s">
        <v>20</v>
      </c>
      <c r="D228" s="35"/>
      <c r="E228" s="35" t="s">
        <v>25</v>
      </c>
      <c r="F228" s="36"/>
      <c r="G228" s="158" t="s">
        <v>22</v>
      </c>
      <c r="H228" s="169" t="n">
        <v>1</v>
      </c>
      <c r="I228" s="160"/>
      <c r="J228" s="160"/>
      <c r="K228" s="161"/>
      <c r="L228" s="161" t="n">
        <f aca="false">M228+N228</f>
        <v>0</v>
      </c>
      <c r="M228" s="161"/>
      <c r="N228" s="190"/>
      <c r="O228" s="163" t="n">
        <v>1</v>
      </c>
      <c r="P228" s="161" t="n">
        <v>1515.67</v>
      </c>
      <c r="Q228" s="161" t="n">
        <f aca="false">R228+S228</f>
        <v>1515.67</v>
      </c>
      <c r="R228" s="161" t="n">
        <v>1515.67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34"/>
      <c r="C229" s="34"/>
      <c r="D229" s="34"/>
      <c r="E229" s="34"/>
      <c r="F229" s="42" t="s">
        <v>217</v>
      </c>
      <c r="G229" s="164" t="s">
        <v>26</v>
      </c>
      <c r="H229" s="171" t="n">
        <v>8</v>
      </c>
      <c r="I229" s="165" t="n">
        <v>1</v>
      </c>
      <c r="J229" s="165" t="n">
        <v>1</v>
      </c>
      <c r="K229" s="166" t="n">
        <v>4970</v>
      </c>
      <c r="L229" s="166" t="n">
        <f aca="false">M229+N229</f>
        <v>11100.6</v>
      </c>
      <c r="M229" s="166" t="n">
        <f aca="false">704.8+10395.8</f>
        <v>11100.6</v>
      </c>
      <c r="N229" s="156"/>
      <c r="O229" s="168" t="n">
        <v>7</v>
      </c>
      <c r="P229" s="166" t="n">
        <v>34775.2</v>
      </c>
      <c r="Q229" s="166" t="n">
        <f aca="false">R229+S229</f>
        <v>21496.4</v>
      </c>
      <c r="R229" s="166" t="n">
        <f aca="false">704.8+13038.8+511.81</f>
        <v>14255.41</v>
      </c>
      <c r="S229" s="156" t="n">
        <v>7240.99</v>
      </c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144</v>
      </c>
      <c r="C230" s="19" t="s">
        <v>20</v>
      </c>
      <c r="D230" s="19"/>
      <c r="E230" s="19" t="s">
        <v>81</v>
      </c>
      <c r="F230" s="20"/>
      <c r="G230" s="146" t="s">
        <v>22</v>
      </c>
      <c r="H230" s="159" t="n">
        <v>13</v>
      </c>
      <c r="I230" s="148" t="n">
        <v>8</v>
      </c>
      <c r="J230" s="148" t="n">
        <v>9</v>
      </c>
      <c r="K230" s="149" t="n">
        <v>8917.05</v>
      </c>
      <c r="L230" s="149" t="n">
        <f aca="false">M230+N230</f>
        <v>7588.94</v>
      </c>
      <c r="M230" s="149" t="n">
        <v>7588.94</v>
      </c>
      <c r="N230" s="190"/>
      <c r="O230" s="151" t="n">
        <v>6</v>
      </c>
      <c r="P230" s="149" t="n">
        <v>24751.07</v>
      </c>
      <c r="Q230" s="149" t="n">
        <f aca="false">R230+S230</f>
        <v>16284.3</v>
      </c>
      <c r="R230" s="149" t="n">
        <v>16284.3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218</v>
      </c>
      <c r="G231" s="152" t="s">
        <v>26</v>
      </c>
      <c r="H231" s="171" t="n">
        <v>7</v>
      </c>
      <c r="I231" s="154" t="n">
        <v>3</v>
      </c>
      <c r="J231" s="154" t="n">
        <v>3</v>
      </c>
      <c r="K231" s="155" t="n">
        <v>5341.3</v>
      </c>
      <c r="L231" s="155" t="n">
        <f aca="false">M231+N231</f>
        <v>4052.6</v>
      </c>
      <c r="M231" s="155" t="n">
        <f aca="false">4052.6</f>
        <v>4052.6</v>
      </c>
      <c r="N231" s="156"/>
      <c r="O231" s="157" t="n">
        <v>2</v>
      </c>
      <c r="P231" s="155" t="s">
        <v>151</v>
      </c>
      <c r="Q231" s="155" t="n">
        <f aca="false">R231+S231</f>
        <v>4493.1</v>
      </c>
      <c r="R231" s="155" t="n">
        <f aca="false">4493.1</f>
        <v>4493.1</v>
      </c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33"/>
      <c r="B232" s="34" t="s">
        <v>145</v>
      </c>
      <c r="C232" s="35" t="s">
        <v>20</v>
      </c>
      <c r="D232" s="35"/>
      <c r="E232" s="35" t="s">
        <v>98</v>
      </c>
      <c r="F232" s="36"/>
      <c r="G232" s="146" t="s">
        <v>22</v>
      </c>
      <c r="H232" s="169"/>
      <c r="I232" s="160"/>
      <c r="J232" s="160"/>
      <c r="K232" s="161"/>
      <c r="L232" s="161" t="n">
        <f aca="false">M232+N232</f>
        <v>0</v>
      </c>
      <c r="M232" s="161"/>
      <c r="N232" s="190"/>
      <c r="O232" s="163"/>
      <c r="P232" s="161"/>
      <c r="Q232" s="161" t="n">
        <f aca="false">R232+S232</f>
        <v>0</v>
      </c>
      <c r="R232" s="161"/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71"/>
      <c r="G233" s="164" t="s">
        <v>23</v>
      </c>
      <c r="H233" s="175"/>
      <c r="I233" s="165"/>
      <c r="J233" s="165"/>
      <c r="K233" s="166"/>
      <c r="L233" s="166" t="n">
        <f aca="false">M233+N233</f>
        <v>0</v>
      </c>
      <c r="M233" s="166"/>
      <c r="N233" s="156"/>
      <c r="O233" s="168"/>
      <c r="P233" s="166"/>
      <c r="Q233" s="166" t="n">
        <f aca="false">R233+S233</f>
        <v>0</v>
      </c>
      <c r="R233" s="166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true" outlineLevel="0" collapsed="false">
      <c r="A234" s="17"/>
      <c r="B234" s="18" t="s">
        <v>146</v>
      </c>
      <c r="C234" s="19" t="s">
        <v>20</v>
      </c>
      <c r="D234" s="19"/>
      <c r="E234" s="19" t="s">
        <v>25</v>
      </c>
      <c r="F234" s="22"/>
      <c r="G234" s="146" t="s">
        <v>22</v>
      </c>
      <c r="H234" s="173" t="n">
        <v>12</v>
      </c>
      <c r="I234" s="148" t="n">
        <v>8</v>
      </c>
      <c r="J234" s="148" t="n">
        <v>10</v>
      </c>
      <c r="K234" s="149" t="n">
        <v>10667.58</v>
      </c>
      <c r="L234" s="149" t="n">
        <f aca="false">M234+N234</f>
        <v>10138.98</v>
      </c>
      <c r="M234" s="149" t="n">
        <v>6699.12</v>
      </c>
      <c r="N234" s="190" t="n">
        <v>3439.86</v>
      </c>
      <c r="O234" s="206" t="n">
        <v>2</v>
      </c>
      <c r="P234" s="149" t="n">
        <v>15606.38</v>
      </c>
      <c r="Q234" s="149" t="n">
        <f aca="false">R234+S234</f>
        <v>15606.38</v>
      </c>
      <c r="R234" s="149" t="n">
        <v>1546.68</v>
      </c>
      <c r="S234" s="190" t="n">
        <v>14059.7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42" t="s">
        <v>219</v>
      </c>
      <c r="G235" s="164" t="s">
        <v>26</v>
      </c>
      <c r="H235" s="178" t="n">
        <v>2</v>
      </c>
      <c r="I235" s="165" t="n">
        <v>1</v>
      </c>
      <c r="J235" s="165" t="n">
        <v>1</v>
      </c>
      <c r="K235" s="166" t="n">
        <v>1585.8</v>
      </c>
      <c r="L235" s="166" t="n">
        <f aca="false">M235+N235</f>
        <v>1585.8</v>
      </c>
      <c r="M235" s="166" t="n">
        <f aca="false">1585.8</f>
        <v>1585.8</v>
      </c>
      <c r="N235" s="167"/>
      <c r="O235" s="238" t="n">
        <v>1</v>
      </c>
      <c r="P235" s="166" t="n">
        <v>1585.8</v>
      </c>
      <c r="Q235" s="166" t="n">
        <f aca="false">R235+S235</f>
        <v>1585.8</v>
      </c>
      <c r="R235" s="166" t="n">
        <v>1585.8</v>
      </c>
      <c r="S235" s="167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289</v>
      </c>
      <c r="C236" s="19"/>
      <c r="D236" s="19"/>
      <c r="E236" s="19"/>
      <c r="F236" s="20"/>
      <c r="G236" s="146" t="s">
        <v>22</v>
      </c>
      <c r="H236" s="173" t="n">
        <v>5</v>
      </c>
      <c r="I236" s="148" t="n">
        <v>1</v>
      </c>
      <c r="J236" s="148" t="n">
        <v>2</v>
      </c>
      <c r="K236" s="149" t="n">
        <v>2643</v>
      </c>
      <c r="L236" s="149" t="n">
        <f aca="false">M236+N236</f>
        <v>2643</v>
      </c>
      <c r="M236" s="149"/>
      <c r="N236" s="224" t="n">
        <v>2643</v>
      </c>
      <c r="O236" s="151"/>
      <c r="P236" s="149"/>
      <c r="Q236" s="149" t="n">
        <f aca="false">R236+S236</f>
        <v>0</v>
      </c>
      <c r="R236" s="149"/>
      <c r="S236" s="15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57"/>
      <c r="G237" s="152" t="s">
        <v>23</v>
      </c>
      <c r="H237" s="174" t="n">
        <v>2</v>
      </c>
      <c r="I237" s="154" t="n">
        <v>1</v>
      </c>
      <c r="J237" s="154" t="n">
        <v>1</v>
      </c>
      <c r="K237" s="155" t="n">
        <v>2325.84</v>
      </c>
      <c r="L237" s="155" t="n">
        <v>2325.84</v>
      </c>
      <c r="M237" s="155" t="n">
        <v>2325.84</v>
      </c>
      <c r="N237" s="226"/>
      <c r="O237" s="157"/>
      <c r="P237" s="155"/>
      <c r="Q237" s="155" t="n">
        <f aca="false">R237+S237</f>
        <v>0</v>
      </c>
      <c r="R237" s="155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54"/>
      <c r="B238" s="55" t="s">
        <v>147</v>
      </c>
      <c r="C238" s="56" t="s">
        <v>20</v>
      </c>
      <c r="D238" s="56"/>
      <c r="E238" s="56" t="s">
        <v>25</v>
      </c>
      <c r="F238" s="97"/>
      <c r="G238" s="158" t="s">
        <v>22</v>
      </c>
      <c r="H238" s="159" t="n">
        <v>4</v>
      </c>
      <c r="I238" s="160" t="n">
        <v>3</v>
      </c>
      <c r="J238" s="160" t="n">
        <v>3</v>
      </c>
      <c r="K238" s="161" t="n">
        <v>2093.26</v>
      </c>
      <c r="L238" s="161" t="n">
        <f aca="false">M238+N238</f>
        <v>2093.26</v>
      </c>
      <c r="M238" s="161" t="n">
        <v>2093.26</v>
      </c>
      <c r="N238" s="190"/>
      <c r="O238" s="163" t="n">
        <v>4</v>
      </c>
      <c r="P238" s="161" t="n">
        <v>16436.74</v>
      </c>
      <c r="Q238" s="161" t="n">
        <f aca="false">R238+S238</f>
        <v>16436.74</v>
      </c>
      <c r="R238" s="161" t="n">
        <v>16436.74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54"/>
      <c r="B239" s="55"/>
      <c r="C239" s="55"/>
      <c r="D239" s="55"/>
      <c r="E239" s="55"/>
      <c r="F239" s="26" t="s">
        <v>220</v>
      </c>
      <c r="G239" s="152" t="s">
        <v>26</v>
      </c>
      <c r="H239" s="171" t="n">
        <v>12</v>
      </c>
      <c r="I239" s="154" t="n">
        <v>2</v>
      </c>
      <c r="J239" s="154" t="n">
        <v>3</v>
      </c>
      <c r="K239" s="155" t="n">
        <v>9162.4</v>
      </c>
      <c r="L239" s="189" t="n">
        <f aca="false">M239+N239</f>
        <v>4228.8</v>
      </c>
      <c r="M239" s="155" t="n">
        <f aca="false">528.6+3700.2</f>
        <v>4228.8</v>
      </c>
      <c r="N239" s="167"/>
      <c r="O239" s="157" t="n">
        <v>5</v>
      </c>
      <c r="P239" s="155" t="n">
        <v>13038.8</v>
      </c>
      <c r="Q239" s="161" t="n">
        <f aca="false">R239+S239</f>
        <v>18677.2</v>
      </c>
      <c r="R239" s="155" t="n">
        <f aca="false">7048+528.6+5638.4+5462.2</f>
        <v>18677.2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148</v>
      </c>
      <c r="C240" s="19" t="s">
        <v>20</v>
      </c>
      <c r="D240" s="19"/>
      <c r="E240" s="19" t="s">
        <v>21</v>
      </c>
      <c r="F240" s="22"/>
      <c r="G240" s="146" t="s">
        <v>22</v>
      </c>
      <c r="H240" s="173" t="n">
        <v>2</v>
      </c>
      <c r="I240" s="148" t="n">
        <v>1</v>
      </c>
      <c r="J240" s="148" t="n">
        <v>1</v>
      </c>
      <c r="K240" s="149" t="n">
        <v>436.1</v>
      </c>
      <c r="L240" s="149" t="n">
        <f aca="false">M240+N240</f>
        <v>436.1</v>
      </c>
      <c r="M240" s="149" t="n">
        <v>436.1</v>
      </c>
      <c r="N240" s="198"/>
      <c r="O240" s="151" t="n">
        <v>1</v>
      </c>
      <c r="P240" s="149" t="n">
        <v>13232.99</v>
      </c>
      <c r="Q240" s="149" t="n">
        <f aca="false">R240+S240</f>
        <v>13232.99</v>
      </c>
      <c r="R240" s="149" t="n">
        <v>13232.99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26" t="s">
        <v>248</v>
      </c>
      <c r="G241" s="152" t="s">
        <v>23</v>
      </c>
      <c r="H241" s="171" t="n">
        <v>2</v>
      </c>
      <c r="I241" s="154"/>
      <c r="J241" s="154"/>
      <c r="K241" s="155"/>
      <c r="L241" s="155" t="n">
        <f aca="false">M241+N241</f>
        <v>0</v>
      </c>
      <c r="M241" s="155"/>
      <c r="N241" s="156"/>
      <c r="O241" s="157" t="n">
        <v>1</v>
      </c>
      <c r="P241" s="155" t="n">
        <v>572.65</v>
      </c>
      <c r="Q241" s="155" t="n">
        <v>572.65</v>
      </c>
      <c r="R241" s="155" t="n">
        <v>572.65</v>
      </c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99"/>
      <c r="B242" s="100" t="s">
        <v>149</v>
      </c>
      <c r="C242" s="100"/>
      <c r="D242" s="100"/>
      <c r="E242" s="100"/>
      <c r="F242" s="100"/>
      <c r="G242" s="212"/>
      <c r="H242" s="213" t="n">
        <f aca="false">SUM(H9:H241)</f>
        <v>1786</v>
      </c>
      <c r="I242" s="214" t="n">
        <f aca="false">SUM(I9:I241)</f>
        <v>1076</v>
      </c>
      <c r="J242" s="214" t="n">
        <f aca="false">SUM(J9:J241)</f>
        <v>1250</v>
      </c>
      <c r="K242" s="215" t="n">
        <f aca="false">SUM(K9:K241)</f>
        <v>2050360.43</v>
      </c>
      <c r="L242" s="215" t="n">
        <f aca="false">SUM(L9:L241)</f>
        <v>1413330.63</v>
      </c>
      <c r="M242" s="215" t="n">
        <f aca="false">SUM(M9:M241)</f>
        <v>1032051.1</v>
      </c>
      <c r="N242" s="243" t="n">
        <f aca="false">SUM(N9:N241)</f>
        <v>402724.94</v>
      </c>
      <c r="O242" s="244" t="n">
        <f aca="false">SUM(O9:O241)</f>
        <v>1041</v>
      </c>
      <c r="P242" s="245" t="n">
        <f aca="false">SUM(P9:P241)</f>
        <v>3388340.41</v>
      </c>
      <c r="Q242" s="245" t="n">
        <f aca="false">SUM(Q9:Q241)</f>
        <v>2894303.57</v>
      </c>
      <c r="R242" s="245" t="n">
        <f aca="false">SUM(R9:R241)</f>
        <v>2369851.94</v>
      </c>
      <c r="S242" s="246" t="n">
        <f aca="false">SUM(S9:S241)</f>
        <v>540066.53</v>
      </c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 t="s">
        <v>290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2"/>
      <c r="B246" s="2"/>
      <c r="C246" s="2"/>
      <c r="D246" s="2"/>
      <c r="E246" s="2"/>
      <c r="F246" s="103"/>
      <c r="G246" s="104" t="s">
        <v>5</v>
      </c>
      <c r="H246" s="104"/>
      <c r="I246" s="104"/>
      <c r="J246" s="104"/>
      <c r="K246" s="104"/>
      <c r="L246" s="104"/>
      <c r="M246" s="104"/>
      <c r="N246" s="104" t="s">
        <v>6</v>
      </c>
      <c r="O246" s="104"/>
      <c r="P246" s="104"/>
      <c r="Q246" s="104"/>
      <c r="R246" s="104"/>
      <c r="S246" s="105" t="s">
        <v>150</v>
      </c>
      <c r="T246" s="105" t="s">
        <v>253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103"/>
      <c r="G247" s="106" t="s">
        <v>13</v>
      </c>
      <c r="H247" s="106" t="s">
        <v>14</v>
      </c>
      <c r="I247" s="106" t="s">
        <v>15</v>
      </c>
      <c r="J247" s="106" t="s">
        <v>226</v>
      </c>
      <c r="K247" s="106" t="s">
        <v>16</v>
      </c>
      <c r="L247" s="106" t="s">
        <v>17</v>
      </c>
      <c r="M247" s="106" t="s">
        <v>18</v>
      </c>
      <c r="N247" s="106" t="s">
        <v>15</v>
      </c>
      <c r="O247" s="106" t="s">
        <v>226</v>
      </c>
      <c r="P247" s="106" t="s">
        <v>16</v>
      </c>
      <c r="Q247" s="106" t="s">
        <v>17</v>
      </c>
      <c r="R247" s="106" t="s">
        <v>18</v>
      </c>
      <c r="S247" s="105"/>
      <c r="T247" s="105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107" t="s">
        <v>22</v>
      </c>
      <c r="G248" s="108" t="n">
        <f aca="false">SUMIF($G$9:$G$241,$F$248,H9:H241)</f>
        <v>1187</v>
      </c>
      <c r="H248" s="108" t="n">
        <f aca="false">SUMIF($G$9:$G$241,$F$248,I9:I241)</f>
        <v>825</v>
      </c>
      <c r="I248" s="108" t="n">
        <f aca="false">SUMIF($G$9:$G$241,$F$248,J9:J241)</f>
        <v>995</v>
      </c>
      <c r="J248" s="110" t="n">
        <f aca="false">SUMIF($G$9:$G$241,F248,$K$9:$K$241)</f>
        <v>1636375.35</v>
      </c>
      <c r="K248" s="110" t="n">
        <f aca="false">SUMIF($G$9:$G$241,$F$248,L9:L241)</f>
        <v>1200584.94</v>
      </c>
      <c r="L248" s="110" t="n">
        <f aca="false">SUMIF($G$9:$G$241,$F$248,M9:M241)</f>
        <v>815076.61</v>
      </c>
      <c r="M248" s="110" t="n">
        <f aca="false">SUMIF($G$9:$G$241,$F$248,N9:N241)</f>
        <v>385508.33</v>
      </c>
      <c r="N248" s="108" t="n">
        <f aca="false">SUMIF($G$9:$G$241,$F$248,O9:O241)</f>
        <v>698</v>
      </c>
      <c r="O248" s="110" t="n">
        <f aca="false">SUMIF($G$9:$G$241,F248,$P$9:$P$241)</f>
        <v>2712446.24</v>
      </c>
      <c r="P248" s="110" t="n">
        <f aca="false">SUMIF($G$9:$G$241,$F$248,Q9:Q241)</f>
        <v>2246451.45</v>
      </c>
      <c r="Q248" s="110" t="n">
        <f aca="false">SUMIF($G$9:$G$241,$F$248,R9:R241)</f>
        <v>1729240.81</v>
      </c>
      <c r="R248" s="110" t="n">
        <f aca="false">SUMIF($G$9:$G$241,$F$248,S9:S241)</f>
        <v>517210.64</v>
      </c>
      <c r="S248" s="110" t="n">
        <f aca="false">Q248+L248</f>
        <v>2544317.42</v>
      </c>
      <c r="T248" s="111" t="n">
        <f aca="false">J248-L248+O248-Q248</f>
        <v>1804504.17</v>
      </c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107" t="s">
        <v>26</v>
      </c>
      <c r="G249" s="108" t="n">
        <f aca="false">SUMIF($G$9:$G$241,$F$249,H9:H241)</f>
        <v>375</v>
      </c>
      <c r="H249" s="108" t="n">
        <v>20</v>
      </c>
      <c r="I249" s="108" t="n">
        <f aca="false">SUMIF($G$9:$G$241,$F$249,J9:J241)</f>
        <v>139</v>
      </c>
      <c r="J249" s="110" t="n">
        <f aca="false">SUMIF($G$9:$G$241,F249,$K$9:$K$241)</f>
        <v>278550.22</v>
      </c>
      <c r="K249" s="110" t="n">
        <f aca="false">SUMIF($G$9:$G$241,$F$249,L9:L241)</f>
        <v>169930.04</v>
      </c>
      <c r="L249" s="110" t="n">
        <f aca="false">SUMIF($G$9:$G$241,$F$249,M9:M241)</f>
        <v>174158.84</v>
      </c>
      <c r="M249" s="110" t="n">
        <f aca="false">SUMIF($G$9:$G$241,$F$249,N9:N241)</f>
        <v>0</v>
      </c>
      <c r="N249" s="108" t="n">
        <f aca="false">SUMIF($G$9:$G$241,$F$249,O9:O241)</f>
        <v>233</v>
      </c>
      <c r="O249" s="110" t="n">
        <f aca="false">SUMIF($G$9:$G$241,F249,$P$9:$P$241)</f>
        <v>449087.8</v>
      </c>
      <c r="P249" s="110" t="n">
        <f aca="false">SUMIF($G$9:$G$241,$F$249,Q9:Q241)</f>
        <v>516554.15</v>
      </c>
      <c r="Q249" s="110" t="n">
        <f aca="false">SUMIF($G$9:$G$241,$F$249,R9:R241)</f>
        <v>509313.16</v>
      </c>
      <c r="R249" s="110" t="n">
        <f aca="false">SUMIF($G$9:$G$241,$F$249,S9:S241)</f>
        <v>7240.99</v>
      </c>
      <c r="S249" s="110" t="n">
        <f aca="false">Q249+L249</f>
        <v>683472</v>
      </c>
      <c r="T249" s="111" t="n">
        <f aca="false">J249-L249+O249-Q249</f>
        <v>44166.0200000003</v>
      </c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107" t="s">
        <v>23</v>
      </c>
      <c r="G250" s="108" t="n">
        <f aca="false">SUMIF($G$9:$G$241,$F$250,H9:H241)</f>
        <v>224</v>
      </c>
      <c r="H250" s="108" t="n">
        <f aca="false">SUMIF($G$9:$G$241,$F$250,I9:I241)</f>
        <v>116</v>
      </c>
      <c r="I250" s="108" t="n">
        <f aca="false">SUMIF($G$9:$G$241,$F$250,J9:J241)</f>
        <v>116</v>
      </c>
      <c r="J250" s="110" t="n">
        <f aca="false">SUMIF($G$9:$G$241,F250,$K$9:$K$241)</f>
        <v>135434.86</v>
      </c>
      <c r="K250" s="110" t="n">
        <f aca="false">SUMIF($G$9:$G$241,$F$250,L9:L241)</f>
        <v>42815.65</v>
      </c>
      <c r="L250" s="110" t="n">
        <f aca="false">SUMIF($G$9:$G$241,$F$250,M9:M241)</f>
        <v>42815.65</v>
      </c>
      <c r="M250" s="110" t="n">
        <f aca="false">SUMIF($G$9:$G$241,$F$250,N9:N241)</f>
        <v>17216.61</v>
      </c>
      <c r="N250" s="108" t="n">
        <f aca="false">SUMIF($G$9:$G$241,$F$250,O9:O241)</f>
        <v>110</v>
      </c>
      <c r="O250" s="110" t="n">
        <f aca="false">SUMIF($G$9:$G$241,F250,$P$9:$P$241)</f>
        <v>226806.37</v>
      </c>
      <c r="P250" s="110" t="n">
        <f aca="false">SUMIF($G$9:$G$241,$F$250,Q9:Q241)</f>
        <v>131297.97</v>
      </c>
      <c r="Q250" s="110" t="n">
        <f aca="false">SUMIF($G$9:$G$241,$F$250,R9:R241)</f>
        <v>131297.97</v>
      </c>
      <c r="R250" s="110" t="n">
        <f aca="false">SUMIF($G$9:$G$241,$F$250,S9:S241)</f>
        <v>15614.9</v>
      </c>
      <c r="S250" s="110" t="n">
        <f aca="false">Q250+L250</f>
        <v>174113.62</v>
      </c>
      <c r="T250" s="111" t="n">
        <f aca="false">J250-L250+O250-Q250</f>
        <v>188127.61</v>
      </c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16" t="n">
        <f aca="false">G250+G249+G248</f>
        <v>1786</v>
      </c>
      <c r="H251" s="216" t="n">
        <f aca="false">H250+H249+H248</f>
        <v>961</v>
      </c>
      <c r="I251" s="216" t="n">
        <f aca="false">I250+I249+I248</f>
        <v>1250</v>
      </c>
      <c r="J251" s="217" t="n">
        <f aca="false">J250+J249+J248</f>
        <v>2050360.43</v>
      </c>
      <c r="K251" s="217" t="n">
        <f aca="false">K250+K249+K248</f>
        <v>1413330.63</v>
      </c>
      <c r="L251" s="217" t="n">
        <f aca="false">L250+L249+L248</f>
        <v>1032051.1</v>
      </c>
      <c r="M251" s="217" t="n">
        <f aca="false">M250+M249+M248</f>
        <v>402724.94</v>
      </c>
      <c r="N251" s="216" t="n">
        <f aca="false">N250+N249+N248</f>
        <v>1041</v>
      </c>
      <c r="O251" s="217" t="n">
        <f aca="false">O250+O249+O248</f>
        <v>3388340.41</v>
      </c>
      <c r="P251" s="217" t="n">
        <f aca="false">P250+P249+P248</f>
        <v>2894303.57</v>
      </c>
      <c r="Q251" s="217" t="n">
        <f aca="false">Q250+Q249+Q248</f>
        <v>2369851.94</v>
      </c>
      <c r="R251" s="217" t="n">
        <f aca="false">R250+R249+R248</f>
        <v>540066.53</v>
      </c>
      <c r="S251" s="217" t="n">
        <f aca="false">S250+S249+S248</f>
        <v>3401903.04</v>
      </c>
      <c r="T251" s="217" t="n">
        <f aca="false">T250+T249+T248</f>
        <v>2036797.8</v>
      </c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F312" s="0" t="s">
        <v>22</v>
      </c>
      <c r="G312" s="0" t="n">
        <v>855</v>
      </c>
      <c r="H312" s="247" t="n">
        <v>470</v>
      </c>
      <c r="I312" s="247" t="n">
        <v>533</v>
      </c>
      <c r="J312" s="0" t="n">
        <v>698634.28</v>
      </c>
      <c r="K312" s="236" t="n">
        <v>578741.37</v>
      </c>
      <c r="L312" s="0" t="n">
        <v>208301.67</v>
      </c>
      <c r="M312" s="0" t="n">
        <v>370439.7</v>
      </c>
      <c r="N312" s="0" t="n">
        <v>549</v>
      </c>
      <c r="O312" s="0" t="n">
        <v>1707859.19</v>
      </c>
      <c r="P312" s="0" t="n">
        <v>1387209.08</v>
      </c>
      <c r="Q312" s="0" t="n">
        <v>868523.33</v>
      </c>
      <c r="R312" s="0" t="n">
        <v>518685.75</v>
      </c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</sheetData>
  <mergeCells count="57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5"/>
    <mergeCell ref="B103:B105"/>
    <mergeCell ref="C103:C105"/>
    <mergeCell ref="D103:D105"/>
    <mergeCell ref="E103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7"/>
    <mergeCell ref="B135:B137"/>
    <mergeCell ref="C135:C137"/>
    <mergeCell ref="D135:D137"/>
    <mergeCell ref="E135:E137"/>
    <mergeCell ref="A138:A139"/>
    <mergeCell ref="B138:B139"/>
    <mergeCell ref="C138:C139"/>
    <mergeCell ref="D138:D139"/>
    <mergeCell ref="E138:E139"/>
    <mergeCell ref="A140:A142"/>
    <mergeCell ref="B140:B142"/>
    <mergeCell ref="C140:C142"/>
    <mergeCell ref="D140:D142"/>
    <mergeCell ref="E140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7"/>
    <mergeCell ref="B175:B177"/>
    <mergeCell ref="C175:C177"/>
    <mergeCell ref="D175:D177"/>
    <mergeCell ref="E175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B184:B185"/>
    <mergeCell ref="D184:D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F246:F247"/>
    <mergeCell ref="G246:M246"/>
    <mergeCell ref="N246:R246"/>
    <mergeCell ref="S246:S247"/>
    <mergeCell ref="T246:T247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112" t="n">
        <v>1</v>
      </c>
      <c r="I9" s="23"/>
      <c r="J9" s="23"/>
      <c r="K9" s="24" t="n">
        <f aca="false">L9+M9</f>
        <v>0</v>
      </c>
      <c r="L9" s="24"/>
      <c r="M9" s="24"/>
      <c r="N9" s="23" t="n">
        <v>4</v>
      </c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113"/>
      <c r="I10" s="28"/>
      <c r="J10" s="28"/>
      <c r="K10" s="29" t="n">
        <f aca="false">L10+M10</f>
        <v>0</v>
      </c>
      <c r="L10" s="29"/>
      <c r="M10" s="30"/>
      <c r="N10" s="28" t="n">
        <v>1</v>
      </c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114" t="n">
        <v>6</v>
      </c>
      <c r="I11" s="39" t="n">
        <v>3</v>
      </c>
      <c r="J11" s="39" t="n">
        <v>3</v>
      </c>
      <c r="K11" s="40" t="n">
        <f aca="false">L11+M11</f>
        <v>0</v>
      </c>
      <c r="L11" s="40"/>
      <c r="M11" s="40"/>
      <c r="N11" s="39" t="n">
        <v>3</v>
      </c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115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114" t="n">
        <v>8</v>
      </c>
      <c r="I13" s="23" t="n">
        <v>6</v>
      </c>
      <c r="J13" s="23" t="n">
        <v>7</v>
      </c>
      <c r="K13" s="24" t="n">
        <f aca="false">L13+M13</f>
        <v>0</v>
      </c>
      <c r="L13" s="24"/>
      <c r="M13" s="24"/>
      <c r="N13" s="23" t="n">
        <v>1</v>
      </c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115"/>
      <c r="I14" s="28"/>
      <c r="J14" s="28"/>
      <c r="K14" s="29" t="n">
        <f aca="false">L14+M14</f>
        <v>0</v>
      </c>
      <c r="L14" s="29"/>
      <c r="M14" s="30"/>
      <c r="N14" s="28" t="n">
        <v>2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116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117" t="n">
        <v>2</v>
      </c>
      <c r="I16" s="45"/>
      <c r="J16" s="45"/>
      <c r="K16" s="46" t="n">
        <f aca="false">L16+M16</f>
        <v>0</v>
      </c>
      <c r="L16" s="46"/>
      <c r="M16" s="47"/>
      <c r="N16" s="45" t="n">
        <v>2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114" t="n">
        <v>4</v>
      </c>
      <c r="I17" s="23" t="n">
        <v>1</v>
      </c>
      <c r="J17" s="23" t="n">
        <v>1</v>
      </c>
      <c r="K17" s="24" t="n">
        <f aca="false">L17+M17</f>
        <v>0</v>
      </c>
      <c r="L17" s="24"/>
      <c r="M17" s="24"/>
      <c r="N17" s="23" t="n">
        <v>8</v>
      </c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117" t="n">
        <v>2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114" t="n">
        <v>9</v>
      </c>
      <c r="I19" s="39" t="n">
        <v>7</v>
      </c>
      <c r="J19" s="39" t="n">
        <v>8</v>
      </c>
      <c r="K19" s="40" t="n">
        <f aca="false">L19+M19</f>
        <v>0</v>
      </c>
      <c r="L19" s="40"/>
      <c r="M19" s="40"/>
      <c r="N19" s="39" t="n">
        <v>8</v>
      </c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117" t="n">
        <v>1</v>
      </c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114" t="n">
        <v>7</v>
      </c>
      <c r="I21" s="61" t="n">
        <v>2</v>
      </c>
      <c r="J21" s="61" t="n">
        <v>2</v>
      </c>
      <c r="K21" s="62" t="n">
        <f aca="false">L21+M21</f>
        <v>0</v>
      </c>
      <c r="L21" s="62"/>
      <c r="M21" s="62"/>
      <c r="N21" s="61" t="n">
        <v>2</v>
      </c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118" t="n">
        <v>1</v>
      </c>
      <c r="I22" s="64"/>
      <c r="J22" s="64"/>
      <c r="K22" s="65" t="n">
        <f aca="false">L22+M22</f>
        <v>0</v>
      </c>
      <c r="L22" s="65"/>
      <c r="M22" s="65"/>
      <c r="N22" s="64" t="n">
        <v>2</v>
      </c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114" t="n">
        <v>1</v>
      </c>
      <c r="I23" s="67"/>
      <c r="J23" s="67"/>
      <c r="K23" s="68" t="n">
        <f aca="false">L23+M23</f>
        <v>0</v>
      </c>
      <c r="L23" s="68"/>
      <c r="M23" s="68"/>
      <c r="N23" s="67" t="n">
        <v>2</v>
      </c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26"/>
      <c r="G24" s="27" t="s">
        <v>26</v>
      </c>
      <c r="H24" s="118" t="n">
        <v>2</v>
      </c>
      <c r="I24" s="58"/>
      <c r="J24" s="58"/>
      <c r="K24" s="59" t="n">
        <f aca="false">L24+M24</f>
        <v>0</v>
      </c>
      <c r="L24" s="59"/>
      <c r="M24" s="59"/>
      <c r="N24" s="58" t="n">
        <v>2</v>
      </c>
      <c r="O24" s="59" t="n">
        <f aca="false">P24+Q24</f>
        <v>0</v>
      </c>
      <c r="P24" s="59"/>
      <c r="Q24" s="60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40</v>
      </c>
      <c r="C25" s="19" t="s">
        <v>38</v>
      </c>
      <c r="D25" s="19" t="s">
        <v>41</v>
      </c>
      <c r="E25" s="19" t="s">
        <v>42</v>
      </c>
      <c r="F25" s="20"/>
      <c r="G25" s="21" t="s">
        <v>22</v>
      </c>
      <c r="H25" s="116"/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115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5.75" hidden="false" customHeight="true" outlineLevel="0" collapsed="false">
      <c r="A27" s="54"/>
      <c r="B27" s="55" t="s">
        <v>43</v>
      </c>
      <c r="C27" s="56" t="s">
        <v>33</v>
      </c>
      <c r="D27" s="56" t="s">
        <v>44</v>
      </c>
      <c r="E27" s="56" t="s">
        <v>45</v>
      </c>
      <c r="F27" s="36"/>
      <c r="G27" s="21" t="s">
        <v>22</v>
      </c>
      <c r="H27" s="114" t="n">
        <v>5</v>
      </c>
      <c r="I27" s="61" t="n">
        <v>3</v>
      </c>
      <c r="J27" s="61" t="n">
        <v>3</v>
      </c>
      <c r="K27" s="62" t="n">
        <v>0</v>
      </c>
      <c r="L27" s="62"/>
      <c r="M27" s="62"/>
      <c r="N27" s="61" t="n">
        <v>6</v>
      </c>
      <c r="O27" s="62" t="n">
        <f aca="false">P27+Q27</f>
        <v>0</v>
      </c>
      <c r="P27" s="62"/>
      <c r="Q27" s="63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customFormat="false" ht="15.75" hidden="false" customHeight="true" outlineLevel="0" collapsed="false">
      <c r="A28" s="54"/>
      <c r="B28" s="55"/>
      <c r="C28" s="55"/>
      <c r="D28" s="55"/>
      <c r="E28" s="55"/>
      <c r="F28" s="26"/>
      <c r="G28" s="27" t="s">
        <v>26</v>
      </c>
      <c r="H28" s="115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" hidden="false" customHeight="true" outlineLevel="0" collapsed="false">
      <c r="A29" s="33"/>
      <c r="B29" s="34" t="s">
        <v>46</v>
      </c>
      <c r="C29" s="35" t="s">
        <v>20</v>
      </c>
      <c r="D29" s="35"/>
      <c r="E29" s="35" t="s">
        <v>25</v>
      </c>
      <c r="F29" s="36"/>
      <c r="G29" s="21" t="s">
        <v>22</v>
      </c>
      <c r="H29" s="114" t="n">
        <v>2</v>
      </c>
      <c r="I29" s="61" t="n">
        <v>1</v>
      </c>
      <c r="J29" s="61" t="n">
        <v>1</v>
      </c>
      <c r="K29" s="62" t="n">
        <f aca="false">L29+M29</f>
        <v>0</v>
      </c>
      <c r="L29" s="62"/>
      <c r="M29" s="62"/>
      <c r="N29" s="61" t="n">
        <v>4</v>
      </c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5.75" hidden="false" customHeight="true" outlineLevel="0" collapsed="false">
      <c r="A30" s="33"/>
      <c r="B30" s="34"/>
      <c r="C30" s="34"/>
      <c r="D30" s="34"/>
      <c r="E30" s="34"/>
      <c r="F30" s="71"/>
      <c r="G30" s="43" t="s">
        <v>26</v>
      </c>
      <c r="H30" s="115"/>
      <c r="I30" s="64"/>
      <c r="J30" s="64"/>
      <c r="K30" s="65" t="n">
        <f aca="false">L30+M30</f>
        <v>0</v>
      </c>
      <c r="L30" s="65"/>
      <c r="M30" s="65"/>
      <c r="N30" s="64"/>
      <c r="O30" s="65" t="n">
        <f aca="false">P30+Q30</f>
        <v>0</v>
      </c>
      <c r="P30" s="65"/>
      <c r="Q30" s="66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72"/>
      <c r="B31" s="73" t="s">
        <v>47</v>
      </c>
      <c r="C31" s="74" t="s">
        <v>20</v>
      </c>
      <c r="D31" s="74"/>
      <c r="E31" s="75" t="s">
        <v>25</v>
      </c>
      <c r="F31" s="22"/>
      <c r="G31" s="21" t="s">
        <v>22</v>
      </c>
      <c r="H31" s="114" t="n">
        <v>1</v>
      </c>
      <c r="I31" s="67"/>
      <c r="J31" s="67"/>
      <c r="K31" s="68" t="n">
        <f aca="false">L31+M31</f>
        <v>0</v>
      </c>
      <c r="L31" s="68"/>
      <c r="M31" s="68"/>
      <c r="N31" s="67"/>
      <c r="O31" s="68" t="n">
        <f aca="false">P31+Q31</f>
        <v>0</v>
      </c>
      <c r="P31" s="68"/>
      <c r="Q31" s="69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72"/>
      <c r="B32" s="73"/>
      <c r="C32" s="73"/>
      <c r="D32" s="73"/>
      <c r="E32" s="75"/>
      <c r="F32" s="42"/>
      <c r="G32" s="43" t="s">
        <v>26</v>
      </c>
      <c r="H32" s="117" t="n">
        <v>3</v>
      </c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17"/>
      <c r="B33" s="18" t="s">
        <v>48</v>
      </c>
      <c r="C33" s="19" t="s">
        <v>20</v>
      </c>
      <c r="D33" s="19"/>
      <c r="E33" s="19" t="s">
        <v>25</v>
      </c>
      <c r="F33" s="20"/>
      <c r="G33" s="21" t="s">
        <v>22</v>
      </c>
      <c r="H33" s="116"/>
      <c r="I33" s="67"/>
      <c r="J33" s="67"/>
      <c r="K33" s="68" t="n">
        <f aca="false">L33+M33</f>
        <v>0</v>
      </c>
      <c r="L33" s="68"/>
      <c r="M33" s="68"/>
      <c r="N33" s="67" t="n">
        <v>1</v>
      </c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17"/>
      <c r="B34" s="18"/>
      <c r="C34" s="18"/>
      <c r="D34" s="18"/>
      <c r="E34" s="18"/>
      <c r="F34" s="26"/>
      <c r="G34" s="27" t="s">
        <v>26</v>
      </c>
      <c r="H34" s="118" t="n">
        <v>2</v>
      </c>
      <c r="I34" s="58"/>
      <c r="J34" s="58"/>
      <c r="K34" s="59" t="n">
        <f aca="false">L34+M34</f>
        <v>0</v>
      </c>
      <c r="L34" s="59"/>
      <c r="M34" s="59"/>
      <c r="N34" s="58" t="n">
        <v>1</v>
      </c>
      <c r="O34" s="59" t="n">
        <f aca="false">P34+Q34</f>
        <v>0</v>
      </c>
      <c r="P34" s="59"/>
      <c r="Q34" s="60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" hidden="false" customHeight="true" outlineLevel="0" collapsed="false">
      <c r="A35" s="54"/>
      <c r="B35" s="55" t="s">
        <v>49</v>
      </c>
      <c r="C35" s="56" t="s">
        <v>20</v>
      </c>
      <c r="D35" s="78"/>
      <c r="E35" s="56" t="s">
        <v>50</v>
      </c>
      <c r="F35" s="36"/>
      <c r="G35" s="21" t="s">
        <v>22</v>
      </c>
      <c r="H35" s="116"/>
      <c r="I35" s="61"/>
      <c r="J35" s="61"/>
      <c r="K35" s="62" t="n">
        <f aca="false">L35+M35</f>
        <v>0</v>
      </c>
      <c r="L35" s="62"/>
      <c r="M35" s="62"/>
      <c r="N35" s="61"/>
      <c r="O35" s="62" t="n">
        <f aca="false">P35+Q35</f>
        <v>0</v>
      </c>
      <c r="P35" s="62"/>
      <c r="Q35" s="63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57"/>
      <c r="G36" s="27" t="s">
        <v>26</v>
      </c>
      <c r="H36" s="115"/>
      <c r="I36" s="58"/>
      <c r="J36" s="58"/>
      <c r="K36" s="59" t="n">
        <f aca="false">L36+M36</f>
        <v>0</v>
      </c>
      <c r="L36" s="59"/>
      <c r="M36" s="59"/>
      <c r="N36" s="58"/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33"/>
      <c r="B37" s="34" t="s">
        <v>51</v>
      </c>
      <c r="C37" s="35" t="s">
        <v>20</v>
      </c>
      <c r="D37" s="35"/>
      <c r="E37" s="35" t="s">
        <v>52</v>
      </c>
      <c r="F37" s="36"/>
      <c r="G37" s="21" t="s">
        <v>22</v>
      </c>
      <c r="H37" s="116"/>
      <c r="I37" s="61"/>
      <c r="J37" s="61"/>
      <c r="K37" s="62" t="n">
        <f aca="false">L37+M37</f>
        <v>0</v>
      </c>
      <c r="L37" s="62"/>
      <c r="M37" s="62"/>
      <c r="N37" s="61" t="n">
        <v>1</v>
      </c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43" t="s">
        <v>26</v>
      </c>
      <c r="H38" s="115"/>
      <c r="I38" s="64"/>
      <c r="J38" s="64"/>
      <c r="K38" s="65" t="n">
        <f aca="false">L38+M38</f>
        <v>0</v>
      </c>
      <c r="L38" s="65"/>
      <c r="M38" s="65"/>
      <c r="N38" s="64"/>
      <c r="O38" s="65" t="n">
        <f aca="false">P38+Q38</f>
        <v>0</v>
      </c>
      <c r="P38" s="65"/>
      <c r="Q38" s="66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17"/>
      <c r="B39" s="18" t="s">
        <v>53</v>
      </c>
      <c r="C39" s="19" t="s">
        <v>33</v>
      </c>
      <c r="D39" s="19" t="s">
        <v>54</v>
      </c>
      <c r="E39" s="19" t="s">
        <v>42</v>
      </c>
      <c r="F39" s="20"/>
      <c r="G39" s="21" t="s">
        <v>22</v>
      </c>
      <c r="H39" s="114" t="n">
        <v>8</v>
      </c>
      <c r="I39" s="67" t="n">
        <v>5</v>
      </c>
      <c r="J39" s="67" t="n">
        <v>5</v>
      </c>
      <c r="K39" s="68" t="n">
        <f aca="false">L39+M39</f>
        <v>0</v>
      </c>
      <c r="L39" s="68"/>
      <c r="M39" s="68"/>
      <c r="N39" s="67" t="n">
        <v>11</v>
      </c>
      <c r="O39" s="68" t="n">
        <f aca="false">P39+Q39</f>
        <v>0</v>
      </c>
      <c r="P39" s="68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17"/>
      <c r="B40" s="18"/>
      <c r="C40" s="18"/>
      <c r="D40" s="18"/>
      <c r="E40" s="18"/>
      <c r="F40" s="57"/>
      <c r="G40" s="27" t="s">
        <v>23</v>
      </c>
      <c r="H40" s="115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55</v>
      </c>
      <c r="C41" s="35" t="s">
        <v>20</v>
      </c>
      <c r="D41" s="35"/>
      <c r="E41" s="35" t="s">
        <v>25</v>
      </c>
      <c r="F41" s="38"/>
      <c r="G41" s="21" t="s">
        <v>22</v>
      </c>
      <c r="H41" s="116"/>
      <c r="I41" s="61"/>
      <c r="J41" s="61"/>
      <c r="K41" s="62" t="n">
        <f aca="false">L41+M41</f>
        <v>0</v>
      </c>
      <c r="L41" s="62"/>
      <c r="M41" s="62"/>
      <c r="N41" s="61"/>
      <c r="O41" s="62" t="n">
        <f aca="false">P41+Q41</f>
        <v>0</v>
      </c>
      <c r="P41" s="62"/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42"/>
      <c r="G42" s="43" t="s">
        <v>26</v>
      </c>
      <c r="H42" s="117" t="n">
        <v>2</v>
      </c>
      <c r="I42" s="64"/>
      <c r="J42" s="64"/>
      <c r="K42" s="65" t="n">
        <f aca="false">L42+M42</f>
        <v>0</v>
      </c>
      <c r="L42" s="65"/>
      <c r="M42" s="65"/>
      <c r="N42" s="64" t="n">
        <v>2</v>
      </c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.75" hidden="false" customHeight="true" outlineLevel="0" collapsed="false">
      <c r="A43" s="17"/>
      <c r="B43" s="18" t="s">
        <v>56</v>
      </c>
      <c r="C43" s="19" t="s">
        <v>33</v>
      </c>
      <c r="D43" s="19" t="s">
        <v>57</v>
      </c>
      <c r="E43" s="19" t="s">
        <v>25</v>
      </c>
      <c r="F43" s="20"/>
      <c r="G43" s="21" t="s">
        <v>22</v>
      </c>
      <c r="H43" s="114" t="n">
        <v>1</v>
      </c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/>
      <c r="G44" s="27" t="s">
        <v>26</v>
      </c>
      <c r="H44" s="115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58</v>
      </c>
      <c r="C45" s="35" t="s">
        <v>20</v>
      </c>
      <c r="D45" s="35"/>
      <c r="E45" s="35" t="s">
        <v>52</v>
      </c>
      <c r="F45" s="36"/>
      <c r="G45" s="21" t="s">
        <v>22</v>
      </c>
      <c r="H45" s="114" t="n">
        <v>2</v>
      </c>
      <c r="I45" s="61"/>
      <c r="J45" s="61"/>
      <c r="K45" s="62" t="n">
        <f aca="false">L45+M45</f>
        <v>0</v>
      </c>
      <c r="L45" s="62"/>
      <c r="M45" s="62"/>
      <c r="N45" s="61" t="n">
        <v>2</v>
      </c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43" t="s">
        <v>26</v>
      </c>
      <c r="H46" s="115"/>
      <c r="I46" s="64"/>
      <c r="J46" s="64"/>
      <c r="K46" s="65" t="n">
        <f aca="false">L46+M46</f>
        <v>0</v>
      </c>
      <c r="L46" s="65"/>
      <c r="M46" s="65"/>
      <c r="N46" s="64"/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72"/>
      <c r="B47" s="73" t="s">
        <v>59</v>
      </c>
      <c r="C47" s="74" t="s">
        <v>20</v>
      </c>
      <c r="D47" s="79"/>
      <c r="E47" s="74" t="s">
        <v>25</v>
      </c>
      <c r="F47" s="22"/>
      <c r="G47" s="21" t="s">
        <v>22</v>
      </c>
      <c r="H47" s="116"/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72"/>
      <c r="B48" s="73"/>
      <c r="C48" s="73"/>
      <c r="D48" s="73"/>
      <c r="E48" s="73"/>
      <c r="F48" s="71"/>
      <c r="G48" s="43" t="s">
        <v>26</v>
      </c>
      <c r="H48" s="115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60</v>
      </c>
      <c r="C49" s="19" t="s">
        <v>20</v>
      </c>
      <c r="D49" s="19"/>
      <c r="E49" s="19" t="s">
        <v>21</v>
      </c>
      <c r="F49" s="22"/>
      <c r="G49" s="21" t="s">
        <v>22</v>
      </c>
      <c r="H49" s="119" t="n">
        <v>1</v>
      </c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57"/>
      <c r="G50" s="27" t="s">
        <v>23</v>
      </c>
      <c r="H50" s="115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.75" hidden="false" customHeight="true" outlineLevel="0" collapsed="false">
      <c r="A51" s="33"/>
      <c r="B51" s="34" t="s">
        <v>61</v>
      </c>
      <c r="C51" s="35" t="s">
        <v>33</v>
      </c>
      <c r="D51" s="56" t="s">
        <v>62</v>
      </c>
      <c r="E51" s="35" t="s">
        <v>25</v>
      </c>
      <c r="F51" s="36"/>
      <c r="G51" s="21" t="s">
        <v>22</v>
      </c>
      <c r="H51" s="114" t="n">
        <v>3</v>
      </c>
      <c r="I51" s="61" t="n">
        <v>1</v>
      </c>
      <c r="J51" s="61" t="n">
        <v>1</v>
      </c>
      <c r="K51" s="62" t="n">
        <f aca="false">L51+M51</f>
        <v>0</v>
      </c>
      <c r="L51" s="62"/>
      <c r="M51" s="62"/>
      <c r="N51" s="61"/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56"/>
      <c r="E52" s="35"/>
      <c r="F52" s="42"/>
      <c r="G52" s="43" t="s">
        <v>26</v>
      </c>
      <c r="H52" s="115"/>
      <c r="I52" s="64"/>
      <c r="J52" s="64"/>
      <c r="K52" s="65" t="n">
        <f aca="false">L52+M52</f>
        <v>0</v>
      </c>
      <c r="L52" s="65"/>
      <c r="M52" s="65"/>
      <c r="N52" s="64" t="n">
        <v>2</v>
      </c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.75" hidden="false" customHeight="true" outlineLevel="0" collapsed="false">
      <c r="A53" s="72"/>
      <c r="B53" s="73" t="s">
        <v>63</v>
      </c>
      <c r="C53" s="74" t="s">
        <v>20</v>
      </c>
      <c r="D53" s="74"/>
      <c r="E53" s="74" t="s">
        <v>25</v>
      </c>
      <c r="F53" s="20"/>
      <c r="G53" s="21" t="s">
        <v>22</v>
      </c>
      <c r="H53" s="119" t="n">
        <v>1</v>
      </c>
      <c r="I53" s="67"/>
      <c r="J53" s="67"/>
      <c r="K53" s="68" t="n">
        <f aca="false">L53+M53</f>
        <v>0</v>
      </c>
      <c r="L53" s="68"/>
      <c r="M53" s="68"/>
      <c r="N53" s="67" t="n">
        <v>3</v>
      </c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42"/>
      <c r="G54" s="43" t="s">
        <v>26</v>
      </c>
      <c r="H54" s="115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64</v>
      </c>
      <c r="C55" s="74" t="s">
        <v>20</v>
      </c>
      <c r="D55" s="74"/>
      <c r="E55" s="74" t="s">
        <v>25</v>
      </c>
      <c r="F55" s="20"/>
      <c r="G55" s="21" t="s">
        <v>22</v>
      </c>
      <c r="H55" s="116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115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17"/>
      <c r="B57" s="18" t="s">
        <v>65</v>
      </c>
      <c r="C57" s="19" t="s">
        <v>33</v>
      </c>
      <c r="D57" s="19" t="s">
        <v>66</v>
      </c>
      <c r="E57" s="19" t="s">
        <v>67</v>
      </c>
      <c r="F57" s="20"/>
      <c r="G57" s="21" t="s">
        <v>22</v>
      </c>
      <c r="H57" s="114" t="n">
        <v>2</v>
      </c>
      <c r="I57" s="67" t="n">
        <v>1</v>
      </c>
      <c r="J57" s="67" t="n">
        <v>1</v>
      </c>
      <c r="K57" s="68" t="n">
        <f aca="false">L57+M57</f>
        <v>0</v>
      </c>
      <c r="L57" s="68"/>
      <c r="M57" s="68"/>
      <c r="N57" s="67" t="n">
        <v>7</v>
      </c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26"/>
      <c r="G58" s="27" t="s">
        <v>23</v>
      </c>
      <c r="H58" s="117" t="n">
        <v>4</v>
      </c>
      <c r="I58" s="58" t="n">
        <v>12</v>
      </c>
      <c r="J58" s="58" t="n">
        <v>12</v>
      </c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68</v>
      </c>
      <c r="C59" s="35" t="s">
        <v>20</v>
      </c>
      <c r="D59" s="35"/>
      <c r="E59" s="35" t="s">
        <v>69</v>
      </c>
      <c r="F59" s="38"/>
      <c r="G59" s="21" t="s">
        <v>22</v>
      </c>
      <c r="H59" s="119" t="n">
        <v>2</v>
      </c>
      <c r="I59" s="61"/>
      <c r="J59" s="61"/>
      <c r="K59" s="62" t="n">
        <f aca="false">L59+M59</f>
        <v>0</v>
      </c>
      <c r="L59" s="62"/>
      <c r="M59" s="62"/>
      <c r="N59" s="61" t="n">
        <v>9</v>
      </c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42"/>
      <c r="G60" s="43" t="s">
        <v>26</v>
      </c>
      <c r="H60" s="115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17"/>
      <c r="B61" s="18" t="s">
        <v>70</v>
      </c>
      <c r="C61" s="19" t="s">
        <v>20</v>
      </c>
      <c r="D61" s="19" t="s">
        <v>71</v>
      </c>
      <c r="E61" s="19" t="s">
        <v>25</v>
      </c>
      <c r="F61" s="20"/>
      <c r="G61" s="21" t="s">
        <v>22</v>
      </c>
      <c r="H61" s="116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26"/>
      <c r="G62" s="27" t="s">
        <v>26</v>
      </c>
      <c r="H62" s="115"/>
      <c r="I62" s="58"/>
      <c r="J62" s="58"/>
      <c r="K62" s="59" t="n">
        <f aca="false">L62+M62</f>
        <v>0</v>
      </c>
      <c r="L62" s="59"/>
      <c r="M62" s="59"/>
      <c r="N62" s="58"/>
      <c r="O62" s="59" t="n">
        <f aca="false">P62+Q62</f>
        <v>0</v>
      </c>
      <c r="P62" s="59"/>
      <c r="Q62" s="60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33"/>
      <c r="B63" s="34" t="s">
        <v>72</v>
      </c>
      <c r="C63" s="35" t="s">
        <v>20</v>
      </c>
      <c r="D63" s="35"/>
      <c r="E63" s="35" t="s">
        <v>52</v>
      </c>
      <c r="F63" s="36"/>
      <c r="G63" s="21" t="s">
        <v>22</v>
      </c>
      <c r="H63" s="114" t="n">
        <v>1</v>
      </c>
      <c r="I63" s="61"/>
      <c r="J63" s="61"/>
      <c r="K63" s="62" t="n">
        <f aca="false">L63+M63</f>
        <v>0</v>
      </c>
      <c r="L63" s="62"/>
      <c r="M63" s="62"/>
      <c r="N63" s="61"/>
      <c r="O63" s="62" t="n">
        <f aca="false">P63+Q63</f>
        <v>0</v>
      </c>
      <c r="P63" s="62"/>
      <c r="Q63" s="63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42"/>
      <c r="G64" s="43" t="s">
        <v>26</v>
      </c>
      <c r="H64" s="117" t="n">
        <v>1</v>
      </c>
      <c r="I64" s="64"/>
      <c r="J64" s="64"/>
      <c r="K64" s="65" t="n">
        <f aca="false">L64+M64</f>
        <v>0</v>
      </c>
      <c r="L64" s="65"/>
      <c r="M64" s="65"/>
      <c r="N64" s="64" t="n">
        <v>3</v>
      </c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17"/>
      <c r="B65" s="18" t="s">
        <v>73</v>
      </c>
      <c r="C65" s="19" t="s">
        <v>20</v>
      </c>
      <c r="D65" s="19"/>
      <c r="E65" s="19" t="s">
        <v>52</v>
      </c>
      <c r="F65" s="20"/>
      <c r="G65" s="21" t="s">
        <v>22</v>
      </c>
      <c r="H65" s="114" t="n">
        <v>1</v>
      </c>
      <c r="I65" s="67" t="n">
        <v>1</v>
      </c>
      <c r="J65" s="67" t="n">
        <v>1</v>
      </c>
      <c r="K65" s="68" t="n">
        <f aca="false">L65+M65</f>
        <v>0</v>
      </c>
      <c r="L65" s="68"/>
      <c r="M65" s="68"/>
      <c r="N65" s="67" t="n">
        <v>2</v>
      </c>
      <c r="O65" s="68" t="n">
        <f aca="false">P65+Q65</f>
        <v>0</v>
      </c>
      <c r="P65" s="68"/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26"/>
      <c r="G66" s="27" t="s">
        <v>26</v>
      </c>
      <c r="H66" s="118" t="n">
        <v>1</v>
      </c>
      <c r="I66" s="58"/>
      <c r="J66" s="58"/>
      <c r="K66" s="59" t="n">
        <f aca="false">L66+M66</f>
        <v>0</v>
      </c>
      <c r="L66" s="59"/>
      <c r="M66" s="59"/>
      <c r="N66" s="58" t="n">
        <v>1</v>
      </c>
      <c r="O66" s="59" t="n">
        <f aca="false">P66+Q66</f>
        <v>0</v>
      </c>
      <c r="P66" s="59"/>
      <c r="Q66" s="60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33"/>
      <c r="B67" s="34" t="s">
        <v>74</v>
      </c>
      <c r="C67" s="35" t="s">
        <v>33</v>
      </c>
      <c r="D67" s="35" t="s">
        <v>75</v>
      </c>
      <c r="E67" s="35" t="s">
        <v>25</v>
      </c>
      <c r="F67" s="36"/>
      <c r="G67" s="21" t="s">
        <v>22</v>
      </c>
      <c r="H67" s="114" t="n">
        <v>10</v>
      </c>
      <c r="I67" s="61" t="n">
        <v>5</v>
      </c>
      <c r="J67" s="61" t="n">
        <v>5</v>
      </c>
      <c r="K67" s="62" t="n">
        <f aca="false">L67+M67</f>
        <v>0</v>
      </c>
      <c r="L67" s="62"/>
      <c r="M67" s="62"/>
      <c r="N67" s="61" t="n">
        <v>16</v>
      </c>
      <c r="O67" s="62" t="n">
        <f aca="false">P67+Q67</f>
        <v>0</v>
      </c>
      <c r="P67" s="62"/>
      <c r="Q67" s="63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42"/>
      <c r="G68" s="43" t="s">
        <v>26</v>
      </c>
      <c r="H68" s="115"/>
      <c r="I68" s="64"/>
      <c r="J68" s="64"/>
      <c r="K68" s="65" t="n">
        <f aca="false">L68+M68</f>
        <v>0</v>
      </c>
      <c r="L68" s="65"/>
      <c r="M68" s="65"/>
      <c r="N68" s="64" t="n">
        <v>1</v>
      </c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76</v>
      </c>
      <c r="C69" s="74" t="s">
        <v>20</v>
      </c>
      <c r="D69" s="74"/>
      <c r="E69" s="74" t="s">
        <v>25</v>
      </c>
      <c r="F69" s="20"/>
      <c r="G69" s="21" t="s">
        <v>22</v>
      </c>
      <c r="H69" s="114" t="n">
        <v>2</v>
      </c>
      <c r="I69" s="67" t="n">
        <v>1</v>
      </c>
      <c r="J69" s="67" t="n">
        <v>1</v>
      </c>
      <c r="K69" s="68" t="n">
        <f aca="false">L69+M69</f>
        <v>0</v>
      </c>
      <c r="L69" s="68"/>
      <c r="M69" s="68"/>
      <c r="N69" s="67" t="n">
        <v>1</v>
      </c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42"/>
      <c r="G70" s="43" t="s">
        <v>26</v>
      </c>
      <c r="H70" s="117" t="n">
        <v>2</v>
      </c>
      <c r="I70" s="64"/>
      <c r="J70" s="64"/>
      <c r="K70" s="65" t="n">
        <f aca="false">L70+M70</f>
        <v>0</v>
      </c>
      <c r="L70" s="65"/>
      <c r="M70" s="65"/>
      <c r="N70" s="64" t="n">
        <v>3</v>
      </c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77</v>
      </c>
      <c r="C71" s="19" t="s">
        <v>38</v>
      </c>
      <c r="D71" s="19" t="s">
        <v>78</v>
      </c>
      <c r="E71" s="19" t="s">
        <v>25</v>
      </c>
      <c r="F71" s="22"/>
      <c r="G71" s="21" t="s">
        <v>22</v>
      </c>
      <c r="H71" s="119" t="n">
        <v>1</v>
      </c>
      <c r="I71" s="67"/>
      <c r="J71" s="67"/>
      <c r="K71" s="68" t="n">
        <f aca="false">L71+M71</f>
        <v>0</v>
      </c>
      <c r="L71" s="68"/>
      <c r="M71" s="68"/>
      <c r="N71" s="67" t="n">
        <v>1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80"/>
      <c r="G72" s="81" t="s">
        <v>26</v>
      </c>
      <c r="H72" s="114" t="n">
        <v>2</v>
      </c>
      <c r="I72" s="82"/>
      <c r="J72" s="82"/>
      <c r="K72" s="83" t="n">
        <f aca="false">L72+M72</f>
        <v>0</v>
      </c>
      <c r="L72" s="83"/>
      <c r="M72" s="83"/>
      <c r="N72" s="82" t="n">
        <v>4</v>
      </c>
      <c r="O72" s="83" t="n">
        <f aca="false">P72+Q72</f>
        <v>0</v>
      </c>
      <c r="P72" s="83"/>
      <c r="Q72" s="84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false" outlineLevel="0" collapsed="false">
      <c r="A73" s="17"/>
      <c r="B73" s="18"/>
      <c r="C73" s="18"/>
      <c r="D73" s="18"/>
      <c r="E73" s="18"/>
      <c r="F73" s="85"/>
      <c r="G73" s="86" t="s">
        <v>23</v>
      </c>
      <c r="H73" s="120" t="n">
        <v>1</v>
      </c>
      <c r="I73" s="58"/>
      <c r="J73" s="58"/>
      <c r="K73" s="59" t="n">
        <f aca="false">L73+M73</f>
        <v>0</v>
      </c>
      <c r="L73" s="59"/>
      <c r="M73" s="59"/>
      <c r="N73" s="58" t="n">
        <v>2</v>
      </c>
      <c r="O73" s="59" t="n">
        <f aca="false">P73+Q73</f>
        <v>0</v>
      </c>
      <c r="P73" s="59"/>
      <c r="Q73" s="60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true" outlineLevel="0" collapsed="false">
      <c r="A74" s="33"/>
      <c r="B74" s="34" t="s">
        <v>79</v>
      </c>
      <c r="C74" s="35" t="s">
        <v>20</v>
      </c>
      <c r="D74" s="35"/>
      <c r="E74" s="35" t="s">
        <v>52</v>
      </c>
      <c r="F74" s="38"/>
      <c r="G74" s="21" t="s">
        <v>22</v>
      </c>
      <c r="H74" s="114" t="n">
        <v>1</v>
      </c>
      <c r="I74" s="61" t="n">
        <v>1</v>
      </c>
      <c r="J74" s="61" t="n">
        <v>1</v>
      </c>
      <c r="K74" s="62" t="n">
        <f aca="false">L74+M74</f>
        <v>0</v>
      </c>
      <c r="L74" s="62"/>
      <c r="M74" s="62"/>
      <c r="N74" s="61" t="n">
        <v>1</v>
      </c>
      <c r="O74" s="62" t="n">
        <f aca="false">P74+Q74</f>
        <v>0</v>
      </c>
      <c r="P74" s="62"/>
      <c r="Q74" s="63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.75" hidden="false" customHeight="true" outlineLevel="0" collapsed="false">
      <c r="A75" s="33"/>
      <c r="B75" s="34"/>
      <c r="C75" s="34"/>
      <c r="D75" s="34"/>
      <c r="E75" s="34"/>
      <c r="F75" s="42"/>
      <c r="G75" s="43" t="s">
        <v>26</v>
      </c>
      <c r="H75" s="115"/>
      <c r="I75" s="64"/>
      <c r="J75" s="64"/>
      <c r="K75" s="65" t="n">
        <f aca="false">L75+M75</f>
        <v>0</v>
      </c>
      <c r="L75" s="65"/>
      <c r="M75" s="65"/>
      <c r="N75" s="64"/>
      <c r="O75" s="65" t="n">
        <f aca="false">P75+Q75</f>
        <v>0</v>
      </c>
      <c r="P75" s="65"/>
      <c r="Q75" s="6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" hidden="false" customHeight="true" outlineLevel="0" collapsed="false">
      <c r="A76" s="72"/>
      <c r="B76" s="73" t="s">
        <v>80</v>
      </c>
      <c r="C76" s="74" t="s">
        <v>20</v>
      </c>
      <c r="D76" s="74"/>
      <c r="E76" s="74" t="s">
        <v>81</v>
      </c>
      <c r="F76" s="20"/>
      <c r="G76" s="21" t="s">
        <v>22</v>
      </c>
      <c r="H76" s="114" t="n">
        <v>2</v>
      </c>
      <c r="I76" s="67"/>
      <c r="J76" s="67"/>
      <c r="K76" s="68" t="n">
        <f aca="false">L76+M76</f>
        <v>0</v>
      </c>
      <c r="L76" s="68"/>
      <c r="M76" s="68"/>
      <c r="N76" s="67"/>
      <c r="O76" s="68" t="n">
        <f aca="false">P76+Q76</f>
        <v>0</v>
      </c>
      <c r="P76" s="68"/>
      <c r="Q76" s="69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72"/>
      <c r="B77" s="73"/>
      <c r="C77" s="73"/>
      <c r="D77" s="73"/>
      <c r="E77" s="73"/>
      <c r="F77" s="42"/>
      <c r="G77" s="43" t="s">
        <v>26</v>
      </c>
      <c r="H77" s="115"/>
      <c r="I77" s="64"/>
      <c r="J77" s="64"/>
      <c r="K77" s="65" t="n">
        <f aca="false">L77+M77</f>
        <v>0</v>
      </c>
      <c r="L77" s="65"/>
      <c r="M77" s="65"/>
      <c r="N77" s="64"/>
      <c r="O77" s="65" t="n">
        <f aca="false">P77+Q77</f>
        <v>0</v>
      </c>
      <c r="P77" s="65"/>
      <c r="Q77" s="6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" hidden="false" customHeight="true" outlineLevel="0" collapsed="false">
      <c r="A78" s="17"/>
      <c r="B78" s="18" t="s">
        <v>82</v>
      </c>
      <c r="C78" s="19" t="s">
        <v>20</v>
      </c>
      <c r="D78" s="19"/>
      <c r="E78" s="19" t="s">
        <v>25</v>
      </c>
      <c r="F78" s="22"/>
      <c r="G78" s="21" t="s">
        <v>22</v>
      </c>
      <c r="H78" s="114" t="n">
        <v>9</v>
      </c>
      <c r="I78" s="67" t="n">
        <v>1</v>
      </c>
      <c r="J78" s="67" t="n">
        <v>1</v>
      </c>
      <c r="K78" s="68" t="n">
        <f aca="false">L78+M78</f>
        <v>0</v>
      </c>
      <c r="L78" s="68"/>
      <c r="M78" s="68"/>
      <c r="N78" s="67" t="n">
        <v>1</v>
      </c>
      <c r="O78" s="68" t="n">
        <f aca="false">P78+Q78</f>
        <v>0</v>
      </c>
      <c r="P78" s="68"/>
      <c r="Q78" s="69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.75" hidden="false" customHeight="true" outlineLevel="0" collapsed="false">
      <c r="A79" s="17"/>
      <c r="B79" s="18"/>
      <c r="C79" s="18"/>
      <c r="D79" s="18"/>
      <c r="E79" s="18"/>
      <c r="F79" s="26"/>
      <c r="G79" s="27" t="s">
        <v>26</v>
      </c>
      <c r="H79" s="118" t="n">
        <v>1</v>
      </c>
      <c r="I79" s="58"/>
      <c r="J79" s="58"/>
      <c r="K79" s="59" t="n">
        <f aca="false">L79+M79</f>
        <v>0</v>
      </c>
      <c r="L79" s="59"/>
      <c r="M79" s="59"/>
      <c r="N79" s="58" t="n">
        <v>1</v>
      </c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17"/>
      <c r="B80" s="18" t="s">
        <v>83</v>
      </c>
      <c r="C80" s="19" t="s">
        <v>20</v>
      </c>
      <c r="D80" s="19"/>
      <c r="E80" s="19" t="s">
        <v>25</v>
      </c>
      <c r="F80" s="20"/>
      <c r="G80" s="21" t="s">
        <v>22</v>
      </c>
      <c r="H80" s="114" t="n">
        <v>1</v>
      </c>
      <c r="I80" s="67" t="n">
        <v>1</v>
      </c>
      <c r="J80" s="67" t="n">
        <v>1</v>
      </c>
      <c r="K80" s="68" t="n">
        <f aca="false">L80+M80</f>
        <v>0</v>
      </c>
      <c r="L80" s="68"/>
      <c r="M80" s="68"/>
      <c r="N80" s="67" t="n">
        <v>1</v>
      </c>
      <c r="O80" s="68" t="n">
        <f aca="false">P80+Q80</f>
        <v>0</v>
      </c>
      <c r="P80" s="68"/>
      <c r="Q80" s="69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17"/>
      <c r="B81" s="18"/>
      <c r="C81" s="18"/>
      <c r="D81" s="18"/>
      <c r="E81" s="18"/>
      <c r="F81" s="26"/>
      <c r="G81" s="27" t="s">
        <v>26</v>
      </c>
      <c r="H81" s="118" t="n">
        <v>0</v>
      </c>
      <c r="I81" s="58"/>
      <c r="J81" s="58"/>
      <c r="K81" s="59" t="n">
        <f aca="false">L81+M81</f>
        <v>0</v>
      </c>
      <c r="L81" s="59"/>
      <c r="M81" s="59"/>
      <c r="N81" s="58"/>
      <c r="O81" s="59" t="n">
        <f aca="false">P81+Q81</f>
        <v>0</v>
      </c>
      <c r="P81" s="59"/>
      <c r="Q81" s="60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33"/>
      <c r="B82" s="34" t="s">
        <v>84</v>
      </c>
      <c r="C82" s="35" t="s">
        <v>20</v>
      </c>
      <c r="D82" s="35"/>
      <c r="E82" s="35" t="s">
        <v>52</v>
      </c>
      <c r="F82" s="36"/>
      <c r="G82" s="21" t="s">
        <v>22</v>
      </c>
      <c r="H82" s="114" t="n">
        <v>6</v>
      </c>
      <c r="I82" s="61"/>
      <c r="J82" s="61"/>
      <c r="K82" s="62" t="n">
        <f aca="false">L82+M82</f>
        <v>0</v>
      </c>
      <c r="L82" s="62"/>
      <c r="M82" s="62"/>
      <c r="N82" s="61" t="n">
        <v>5</v>
      </c>
      <c r="O82" s="62" t="n">
        <f aca="false">P82+Q82</f>
        <v>0</v>
      </c>
      <c r="P82" s="62"/>
      <c r="Q82" s="63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/>
      <c r="C83" s="34"/>
      <c r="D83" s="34"/>
      <c r="E83" s="34"/>
      <c r="F83" s="71"/>
      <c r="G83" s="43" t="s">
        <v>26</v>
      </c>
      <c r="H83" s="115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85</v>
      </c>
      <c r="C84" s="19" t="s">
        <v>20</v>
      </c>
      <c r="D84" s="19"/>
      <c r="E84" s="19" t="s">
        <v>25</v>
      </c>
      <c r="F84" s="87"/>
      <c r="G84" s="21" t="s">
        <v>22</v>
      </c>
      <c r="H84" s="116"/>
      <c r="I84" s="67"/>
      <c r="J84" s="67"/>
      <c r="K84" s="68" t="n">
        <f aca="false">L84+M84</f>
        <v>0</v>
      </c>
      <c r="L84" s="68"/>
      <c r="M84" s="68"/>
      <c r="N84" s="67"/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88"/>
      <c r="G85" s="27" t="s">
        <v>26</v>
      </c>
      <c r="H85" s="115"/>
      <c r="I85" s="58"/>
      <c r="J85" s="58"/>
      <c r="K85" s="59" t="n">
        <f aca="false">L85+M85</f>
        <v>0</v>
      </c>
      <c r="L85" s="59"/>
      <c r="M85" s="59"/>
      <c r="N85" s="58"/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17"/>
      <c r="B86" s="73" t="s">
        <v>86</v>
      </c>
      <c r="C86" s="74" t="s">
        <v>33</v>
      </c>
      <c r="D86" s="74" t="s">
        <v>87</v>
      </c>
      <c r="E86" s="74" t="s">
        <v>88</v>
      </c>
      <c r="F86" s="20"/>
      <c r="G86" s="21" t="s">
        <v>22</v>
      </c>
      <c r="H86" s="119" t="n">
        <v>9</v>
      </c>
      <c r="I86" s="67" t="n">
        <v>2</v>
      </c>
      <c r="J86" s="67" t="n">
        <v>3</v>
      </c>
      <c r="K86" s="68" t="n">
        <f aca="false">L86+M86</f>
        <v>0</v>
      </c>
      <c r="L86" s="68"/>
      <c r="M86" s="68"/>
      <c r="N86" s="67" t="n">
        <v>4</v>
      </c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73"/>
      <c r="C87" s="73"/>
      <c r="D87" s="73"/>
      <c r="E87" s="73"/>
      <c r="F87" s="42"/>
      <c r="G87" s="43" t="s">
        <v>23</v>
      </c>
      <c r="H87" s="117" t="n">
        <v>5</v>
      </c>
      <c r="I87" s="64" t="n">
        <v>3</v>
      </c>
      <c r="J87" s="64" t="n">
        <v>3</v>
      </c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89</v>
      </c>
      <c r="C88" s="19" t="s">
        <v>20</v>
      </c>
      <c r="D88" s="19" t="s">
        <v>90</v>
      </c>
      <c r="E88" s="19" t="s">
        <v>42</v>
      </c>
      <c r="F88" s="20"/>
      <c r="G88" s="21" t="s">
        <v>22</v>
      </c>
      <c r="H88" s="114" t="n">
        <v>8</v>
      </c>
      <c r="I88" s="67" t="n">
        <v>2</v>
      </c>
      <c r="J88" s="67" t="n">
        <v>2</v>
      </c>
      <c r="K88" s="68" t="n">
        <f aca="false">L88+M88</f>
        <v>0</v>
      </c>
      <c r="L88" s="68"/>
      <c r="M88" s="68"/>
      <c r="N88" s="67" t="n">
        <v>3</v>
      </c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/>
      <c r="G89" s="27" t="s">
        <v>23</v>
      </c>
      <c r="H89" s="115"/>
      <c r="I89" s="58"/>
      <c r="J89" s="58"/>
      <c r="K89" s="59" t="n">
        <f aca="false">L89+M89</f>
        <v>0</v>
      </c>
      <c r="L89" s="59"/>
      <c r="M89" s="59"/>
      <c r="N89" s="58"/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.75" hidden="false" customHeight="true" outlineLevel="0" collapsed="false">
      <c r="A90" s="33"/>
      <c r="B90" s="34" t="s">
        <v>91</v>
      </c>
      <c r="C90" s="35" t="s">
        <v>33</v>
      </c>
      <c r="D90" s="35" t="s">
        <v>92</v>
      </c>
      <c r="E90" s="35" t="s">
        <v>25</v>
      </c>
      <c r="F90" s="36"/>
      <c r="G90" s="21" t="s">
        <v>22</v>
      </c>
      <c r="H90" s="114" t="n">
        <v>3</v>
      </c>
      <c r="I90" s="61"/>
      <c r="J90" s="61"/>
      <c r="K90" s="62" t="n">
        <f aca="false">L90+M90</f>
        <v>0</v>
      </c>
      <c r="L90" s="62"/>
      <c r="M90" s="62"/>
      <c r="N90" s="61" t="n">
        <v>1</v>
      </c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89"/>
      <c r="G91" s="90" t="s">
        <v>23</v>
      </c>
      <c r="H91" s="116"/>
      <c r="I91" s="91"/>
      <c r="J91" s="91"/>
      <c r="K91" s="92" t="n">
        <f aca="false">L91+M91</f>
        <v>0</v>
      </c>
      <c r="L91" s="92"/>
      <c r="M91" s="92"/>
      <c r="N91" s="91"/>
      <c r="O91" s="92" t="n">
        <f aca="false">P91+Q91</f>
        <v>0</v>
      </c>
      <c r="P91" s="92"/>
      <c r="Q91" s="93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/>
      <c r="G92" s="43" t="s">
        <v>26</v>
      </c>
      <c r="H92" s="117" t="n">
        <v>4</v>
      </c>
      <c r="I92" s="64"/>
      <c r="J92" s="64"/>
      <c r="K92" s="65" t="n">
        <f aca="false">L92+M92</f>
        <v>0</v>
      </c>
      <c r="L92" s="65"/>
      <c r="M92" s="65"/>
      <c r="N92" s="64" t="n">
        <v>2</v>
      </c>
      <c r="O92" s="65" t="n">
        <f aca="false">P92+Q92</f>
        <v>0</v>
      </c>
      <c r="P92" s="65"/>
      <c r="Q92" s="6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18" t="s">
        <v>93</v>
      </c>
      <c r="C93" s="19" t="s">
        <v>20</v>
      </c>
      <c r="D93" s="49"/>
      <c r="E93" s="19" t="s">
        <v>50</v>
      </c>
      <c r="F93" s="87"/>
      <c r="G93" s="21" t="s">
        <v>22</v>
      </c>
      <c r="H93" s="119" t="n">
        <v>1</v>
      </c>
      <c r="I93" s="67"/>
      <c r="J93" s="67"/>
      <c r="K93" s="68" t="n">
        <f aca="false">L93+M93</f>
        <v>0</v>
      </c>
      <c r="L93" s="68"/>
      <c r="M93" s="68"/>
      <c r="N93" s="67"/>
      <c r="O93" s="68" t="n">
        <f aca="false">P93+Q93</f>
        <v>0</v>
      </c>
      <c r="P93" s="68"/>
      <c r="Q93" s="69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8"/>
      <c r="G94" s="27" t="s">
        <v>26</v>
      </c>
      <c r="H94" s="117" t="n">
        <v>4</v>
      </c>
      <c r="I94" s="58"/>
      <c r="J94" s="58"/>
      <c r="K94" s="59" t="n">
        <f aca="false">L94+M94</f>
        <v>0</v>
      </c>
      <c r="L94" s="59"/>
      <c r="M94" s="59"/>
      <c r="N94" s="58"/>
      <c r="O94" s="59" t="n">
        <f aca="false">P94+Q94</f>
        <v>0</v>
      </c>
      <c r="P94" s="59"/>
      <c r="Q94" s="60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" hidden="false" customHeight="true" outlineLevel="0" collapsed="false">
      <c r="A95" s="54"/>
      <c r="B95" s="55" t="s">
        <v>94</v>
      </c>
      <c r="C95" s="56" t="s">
        <v>20</v>
      </c>
      <c r="D95" s="56"/>
      <c r="E95" s="56" t="s">
        <v>52</v>
      </c>
      <c r="F95" s="36"/>
      <c r="G95" s="37" t="s">
        <v>22</v>
      </c>
      <c r="H95" s="114" t="n">
        <v>4</v>
      </c>
      <c r="I95" s="61" t="n">
        <v>3</v>
      </c>
      <c r="J95" s="61" t="n">
        <v>3</v>
      </c>
      <c r="K95" s="62" t="n">
        <f aca="false">L95+M95</f>
        <v>0</v>
      </c>
      <c r="L95" s="62"/>
      <c r="M95" s="62"/>
      <c r="N95" s="61" t="n">
        <v>2</v>
      </c>
      <c r="O95" s="62" t="n">
        <f aca="false">P95+Q95</f>
        <v>0</v>
      </c>
      <c r="P95" s="62"/>
      <c r="Q95" s="63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42"/>
      <c r="G96" s="43" t="s">
        <v>26</v>
      </c>
      <c r="H96" s="117" t="n">
        <v>3</v>
      </c>
      <c r="I96" s="58"/>
      <c r="J96" s="58"/>
      <c r="K96" s="59" t="n">
        <f aca="false">L96+M96</f>
        <v>0</v>
      </c>
      <c r="L96" s="59"/>
      <c r="M96" s="59"/>
      <c r="N96" s="58"/>
      <c r="O96" s="59" t="n">
        <f aca="false">P96+Q96</f>
        <v>0</v>
      </c>
      <c r="P96" s="59"/>
      <c r="Q96" s="60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 t="s">
        <v>95</v>
      </c>
      <c r="C97" s="35" t="s">
        <v>33</v>
      </c>
      <c r="D97" s="35" t="s">
        <v>96</v>
      </c>
      <c r="E97" s="35" t="s">
        <v>88</v>
      </c>
      <c r="F97" s="22"/>
      <c r="G97" s="21" t="s">
        <v>22</v>
      </c>
      <c r="H97" s="114" t="n">
        <v>9</v>
      </c>
      <c r="I97" s="61" t="n">
        <v>4</v>
      </c>
      <c r="J97" s="38" t="n">
        <v>4</v>
      </c>
      <c r="K97" s="62" t="n">
        <f aca="false">L97+M97</f>
        <v>0</v>
      </c>
      <c r="L97" s="62"/>
      <c r="M97" s="62"/>
      <c r="N97" s="61"/>
      <c r="O97" s="62" t="n">
        <f aca="false">P97+Q97</f>
        <v>0</v>
      </c>
      <c r="P97" s="62"/>
      <c r="Q97" s="6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23</v>
      </c>
      <c r="H98" s="117" t="n">
        <v>5</v>
      </c>
      <c r="I98" s="64"/>
      <c r="J98" s="64"/>
      <c r="K98" s="65" t="n">
        <f aca="false">L98+M98</f>
        <v>0</v>
      </c>
      <c r="L98" s="65"/>
      <c r="M98" s="65"/>
      <c r="N98" s="64"/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72"/>
      <c r="B99" s="73" t="s">
        <v>97</v>
      </c>
      <c r="C99" s="74" t="s">
        <v>20</v>
      </c>
      <c r="D99" s="74"/>
      <c r="E99" s="74" t="s">
        <v>98</v>
      </c>
      <c r="F99" s="20"/>
      <c r="G99" s="21" t="s">
        <v>22</v>
      </c>
      <c r="H99" s="114" t="n">
        <v>3</v>
      </c>
      <c r="I99" s="67" t="n">
        <v>1</v>
      </c>
      <c r="J99" s="67" t="n">
        <v>1</v>
      </c>
      <c r="K99" s="68" t="n">
        <f aca="false">L99+M99</f>
        <v>0</v>
      </c>
      <c r="L99" s="68"/>
      <c r="M99" s="68"/>
      <c r="N99" s="67" t="n">
        <v>1</v>
      </c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/>
      <c r="G100" s="43" t="s">
        <v>23</v>
      </c>
      <c r="H100" s="117" t="n">
        <v>3</v>
      </c>
      <c r="I100" s="64" t="n">
        <v>6</v>
      </c>
      <c r="J100" s="64" t="n">
        <v>6</v>
      </c>
      <c r="K100" s="65" t="n">
        <f aca="false">L100+M100</f>
        <v>0</v>
      </c>
      <c r="L100" s="65"/>
      <c r="M100" s="65"/>
      <c r="N100" s="64" t="n">
        <v>2</v>
      </c>
      <c r="O100" s="65" t="n">
        <f aca="false">P100+Q100</f>
        <v>0</v>
      </c>
      <c r="P100" s="65"/>
      <c r="Q100" s="6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 t="s">
        <v>99</v>
      </c>
      <c r="C101" s="19" t="s">
        <v>33</v>
      </c>
      <c r="D101" s="19" t="s">
        <v>100</v>
      </c>
      <c r="E101" s="19" t="s">
        <v>101</v>
      </c>
      <c r="F101" s="20"/>
      <c r="G101" s="21" t="s">
        <v>22</v>
      </c>
      <c r="H101" s="114" t="n">
        <v>6</v>
      </c>
      <c r="I101" s="67" t="n">
        <v>5</v>
      </c>
      <c r="J101" s="67" t="n">
        <v>5</v>
      </c>
      <c r="K101" s="68" t="n">
        <f aca="false">L101+M101</f>
        <v>0</v>
      </c>
      <c r="L101" s="68"/>
      <c r="M101" s="68"/>
      <c r="N101" s="67" t="n">
        <v>6</v>
      </c>
      <c r="O101" s="68" t="n">
        <f aca="false">P101+Q101</f>
        <v>0</v>
      </c>
      <c r="P101" s="68"/>
      <c r="Q101" s="69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/>
      <c r="G102" s="81" t="s">
        <v>26</v>
      </c>
      <c r="H102" s="119" t="n">
        <v>3</v>
      </c>
      <c r="I102" s="82"/>
      <c r="J102" s="82"/>
      <c r="K102" s="83" t="n">
        <f aca="false">L102+M102</f>
        <v>0</v>
      </c>
      <c r="L102" s="83"/>
      <c r="M102" s="83"/>
      <c r="N102" s="82" t="n">
        <v>2</v>
      </c>
      <c r="O102" s="83" t="n">
        <f aca="false">P102+Q102</f>
        <v>0</v>
      </c>
      <c r="P102" s="83"/>
      <c r="Q102" s="84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/>
      <c r="G103" s="27" t="s">
        <v>23</v>
      </c>
      <c r="H103" s="115"/>
      <c r="I103" s="58"/>
      <c r="J103" s="58"/>
      <c r="K103" s="59" t="n">
        <f aca="false">L103+M103</f>
        <v>0</v>
      </c>
      <c r="L103" s="59"/>
      <c r="M103" s="59"/>
      <c r="N103" s="58"/>
      <c r="O103" s="59" t="n">
        <f aca="false">P103+Q103</f>
        <v>0</v>
      </c>
      <c r="P103" s="59"/>
      <c r="Q103" s="60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 t="s">
        <v>102</v>
      </c>
      <c r="C104" s="35" t="s">
        <v>20</v>
      </c>
      <c r="D104" s="35"/>
      <c r="E104" s="35" t="s">
        <v>25</v>
      </c>
      <c r="F104" s="36"/>
      <c r="G104" s="21" t="s">
        <v>22</v>
      </c>
      <c r="H104" s="119" t="n">
        <v>6</v>
      </c>
      <c r="I104" s="61" t="n">
        <v>1</v>
      </c>
      <c r="J104" s="61" t="n">
        <v>1</v>
      </c>
      <c r="K104" s="62" t="n">
        <f aca="false">L104+M104</f>
        <v>0</v>
      </c>
      <c r="L104" s="62"/>
      <c r="M104" s="62"/>
      <c r="N104" s="61"/>
      <c r="O104" s="62" t="n">
        <f aca="false">P104+Q104</f>
        <v>0</v>
      </c>
      <c r="P104" s="62"/>
      <c r="Q104" s="63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43" t="s">
        <v>26</v>
      </c>
      <c r="H105" s="118" t="n">
        <v>2</v>
      </c>
      <c r="I105" s="64"/>
      <c r="J105" s="64"/>
      <c r="K105" s="65" t="n">
        <f aca="false">L105+M105</f>
        <v>0</v>
      </c>
      <c r="L105" s="65"/>
      <c r="M105" s="65"/>
      <c r="N105" s="64"/>
      <c r="O105" s="65" t="n">
        <f aca="false">P105+Q105</f>
        <v>0</v>
      </c>
      <c r="P105" s="65"/>
      <c r="Q105" s="6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" hidden="false" customHeight="true" outlineLevel="0" collapsed="false">
      <c r="A106" s="17"/>
      <c r="B106" s="18" t="s">
        <v>103</v>
      </c>
      <c r="C106" s="19" t="s">
        <v>20</v>
      </c>
      <c r="D106" s="19"/>
      <c r="E106" s="19" t="s">
        <v>52</v>
      </c>
      <c r="F106" s="20"/>
      <c r="G106" s="21" t="s">
        <v>22</v>
      </c>
      <c r="H106" s="116"/>
      <c r="I106" s="67"/>
      <c r="J106" s="67"/>
      <c r="K106" s="68" t="n">
        <f aca="false">L106+M106</f>
        <v>0</v>
      </c>
      <c r="L106" s="68"/>
      <c r="M106" s="68"/>
      <c r="N106" s="67" t="n">
        <v>1</v>
      </c>
      <c r="O106" s="68" t="n">
        <f aca="false">P106+Q106</f>
        <v>0</v>
      </c>
      <c r="P106" s="68"/>
      <c r="Q106" s="69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26"/>
      <c r="G107" s="27" t="s">
        <v>26</v>
      </c>
      <c r="H107" s="117" t="n">
        <v>3</v>
      </c>
      <c r="I107" s="58"/>
      <c r="J107" s="58"/>
      <c r="K107" s="59" t="n">
        <f aca="false">L107+M107</f>
        <v>0</v>
      </c>
      <c r="L107" s="59"/>
      <c r="M107" s="59"/>
      <c r="N107" s="58" t="n">
        <v>1</v>
      </c>
      <c r="O107" s="59" t="n">
        <f aca="false">P107+Q107</f>
        <v>0</v>
      </c>
      <c r="P107" s="59"/>
      <c r="Q107" s="60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" hidden="false" customHeight="true" outlineLevel="0" collapsed="false">
      <c r="A108" s="54"/>
      <c r="B108" s="55" t="s">
        <v>104</v>
      </c>
      <c r="C108" s="56" t="s">
        <v>20</v>
      </c>
      <c r="D108" s="56"/>
      <c r="E108" s="56" t="s">
        <v>25</v>
      </c>
      <c r="F108" s="22"/>
      <c r="G108" s="21" t="s">
        <v>22</v>
      </c>
      <c r="H108" s="116"/>
      <c r="I108" s="61"/>
      <c r="J108" s="61"/>
      <c r="K108" s="62" t="n">
        <f aca="false">L108+M108</f>
        <v>0</v>
      </c>
      <c r="L108" s="62"/>
      <c r="M108" s="62"/>
      <c r="N108" s="61"/>
      <c r="O108" s="62" t="n">
        <f aca="false">P108+Q108</f>
        <v>0</v>
      </c>
      <c r="P108" s="62"/>
      <c r="Q108" s="6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57"/>
      <c r="G109" s="27" t="s">
        <v>26</v>
      </c>
      <c r="H109" s="115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33"/>
      <c r="B110" s="34" t="s">
        <v>105</v>
      </c>
      <c r="C110" s="35" t="s">
        <v>33</v>
      </c>
      <c r="D110" s="35" t="s">
        <v>106</v>
      </c>
      <c r="E110" s="35" t="s">
        <v>107</v>
      </c>
      <c r="F110" s="36"/>
      <c r="G110" s="21" t="s">
        <v>22</v>
      </c>
      <c r="H110" s="116"/>
      <c r="I110" s="61"/>
      <c r="J110" s="61"/>
      <c r="K110" s="62" t="n">
        <f aca="false">L110+M110</f>
        <v>0</v>
      </c>
      <c r="L110" s="62"/>
      <c r="M110" s="62"/>
      <c r="N110" s="61" t="n">
        <v>3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42"/>
      <c r="G111" s="43" t="s">
        <v>26</v>
      </c>
      <c r="H111" s="115"/>
      <c r="I111" s="64"/>
      <c r="J111" s="64"/>
      <c r="K111" s="65" t="n">
        <f aca="false">L111+M111</f>
        <v>0</v>
      </c>
      <c r="L111" s="65"/>
      <c r="M111" s="65"/>
      <c r="N111" s="64" t="n">
        <v>5</v>
      </c>
      <c r="O111" s="65" t="n">
        <f aca="false">P111+Q111</f>
        <v>0</v>
      </c>
      <c r="P111" s="65"/>
      <c r="Q111" s="6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72"/>
      <c r="B112" s="73" t="s">
        <v>108</v>
      </c>
      <c r="C112" s="74" t="s">
        <v>33</v>
      </c>
      <c r="D112" s="74" t="s">
        <v>109</v>
      </c>
      <c r="E112" s="74" t="s">
        <v>25</v>
      </c>
      <c r="F112" s="20"/>
      <c r="G112" s="21" t="s">
        <v>22</v>
      </c>
      <c r="H112" s="114" t="n">
        <v>4</v>
      </c>
      <c r="I112" s="67" t="n">
        <v>2</v>
      </c>
      <c r="J112" s="67" t="n">
        <v>2</v>
      </c>
      <c r="K112" s="68" t="n">
        <f aca="false">L112+M112</f>
        <v>0</v>
      </c>
      <c r="L112" s="68"/>
      <c r="M112" s="68"/>
      <c r="N112" s="67" t="n">
        <v>7</v>
      </c>
      <c r="O112" s="68" t="n">
        <f aca="false">P112+Q112</f>
        <v>0</v>
      </c>
      <c r="P112" s="68"/>
      <c r="Q112" s="69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72"/>
      <c r="B113" s="73"/>
      <c r="C113" s="73"/>
      <c r="D113" s="73"/>
      <c r="E113" s="73"/>
      <c r="F113" s="42"/>
      <c r="G113" s="43" t="s">
        <v>26</v>
      </c>
      <c r="H113" s="117" t="n">
        <v>2</v>
      </c>
      <c r="I113" s="64"/>
      <c r="J113" s="64"/>
      <c r="K113" s="65" t="n">
        <f aca="false">L113+M113</f>
        <v>0</v>
      </c>
      <c r="L113" s="65"/>
      <c r="M113" s="65"/>
      <c r="N113" s="64" t="n">
        <v>2</v>
      </c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110</v>
      </c>
      <c r="C114" s="19" t="s">
        <v>33</v>
      </c>
      <c r="D114" s="19" t="s">
        <v>111</v>
      </c>
      <c r="E114" s="19" t="s">
        <v>25</v>
      </c>
      <c r="F114" s="20"/>
      <c r="G114" s="21" t="s">
        <v>22</v>
      </c>
      <c r="H114" s="114" t="n">
        <v>9</v>
      </c>
      <c r="I114" s="67" t="n">
        <v>5</v>
      </c>
      <c r="J114" s="22" t="n">
        <v>5</v>
      </c>
      <c r="K114" s="68" t="n">
        <f aca="false">L114+M114</f>
        <v>0</v>
      </c>
      <c r="L114" s="68"/>
      <c r="M114" s="68"/>
      <c r="N114" s="67" t="n">
        <v>5</v>
      </c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26</v>
      </c>
      <c r="H115" s="115"/>
      <c r="I115" s="58"/>
      <c r="J115" s="58"/>
      <c r="K115" s="59" t="n">
        <f aca="false">L115+M115</f>
        <v>0</v>
      </c>
      <c r="L115" s="59"/>
      <c r="M115" s="59"/>
      <c r="N115" s="58" t="n">
        <v>2</v>
      </c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33"/>
      <c r="B116" s="34" t="s">
        <v>112</v>
      </c>
      <c r="C116" s="35" t="s">
        <v>20</v>
      </c>
      <c r="D116" s="35"/>
      <c r="E116" s="35" t="s">
        <v>25</v>
      </c>
      <c r="F116" s="36"/>
      <c r="G116" s="21" t="s">
        <v>22</v>
      </c>
      <c r="H116" s="114" t="n">
        <v>4</v>
      </c>
      <c r="I116" s="61" t="n">
        <v>2</v>
      </c>
      <c r="J116" s="61" t="n">
        <v>2</v>
      </c>
      <c r="K116" s="94" t="n">
        <f aca="false">L116+M116</f>
        <v>0</v>
      </c>
      <c r="L116" s="94"/>
      <c r="M116" s="62"/>
      <c r="N116" s="61"/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26"/>
      <c r="G117" s="27" t="s">
        <v>26</v>
      </c>
      <c r="H117" s="117" t="n">
        <v>1</v>
      </c>
      <c r="I117" s="64"/>
      <c r="J117" s="64"/>
      <c r="K117" s="65" t="n">
        <f aca="false">L117+M117</f>
        <v>0</v>
      </c>
      <c r="L117" s="65"/>
      <c r="M117" s="65"/>
      <c r="N117" s="64" t="n">
        <v>1</v>
      </c>
      <c r="O117" s="65" t="n">
        <f aca="false">P117+Q117</f>
        <v>0</v>
      </c>
      <c r="P117" s="65"/>
      <c r="Q117" s="6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" hidden="false" customHeight="true" outlineLevel="0" collapsed="false">
      <c r="A118" s="17"/>
      <c r="B118" s="18" t="s">
        <v>113</v>
      </c>
      <c r="C118" s="19" t="s">
        <v>20</v>
      </c>
      <c r="D118" s="19"/>
      <c r="E118" s="19" t="s">
        <v>31</v>
      </c>
      <c r="F118" s="36"/>
      <c r="G118" s="21" t="s">
        <v>22</v>
      </c>
      <c r="H118" s="114" t="n">
        <v>3</v>
      </c>
      <c r="I118" s="67" t="n">
        <v>3</v>
      </c>
      <c r="J118" s="67" t="n">
        <v>3</v>
      </c>
      <c r="K118" s="68" t="n">
        <f aca="false">L118+M118</f>
        <v>0</v>
      </c>
      <c r="L118" s="68"/>
      <c r="M118" s="68"/>
      <c r="N118" s="67" t="n">
        <v>1</v>
      </c>
      <c r="O118" s="68" t="n">
        <f aca="false">P118+Q118</f>
        <v>0</v>
      </c>
      <c r="P118" s="68"/>
      <c r="Q118" s="69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57"/>
      <c r="G119" s="27" t="s">
        <v>26</v>
      </c>
      <c r="H119" s="115"/>
      <c r="I119" s="58"/>
      <c r="J119" s="58"/>
      <c r="K119" s="59" t="n">
        <f aca="false">L119+M119</f>
        <v>0</v>
      </c>
      <c r="L119" s="59"/>
      <c r="M119" s="59"/>
      <c r="N119" s="58"/>
      <c r="O119" s="59" t="n">
        <f aca="false">P119+Q119</f>
        <v>0</v>
      </c>
      <c r="P119" s="59"/>
      <c r="Q119" s="60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" hidden="false" customHeight="true" outlineLevel="0" collapsed="false">
      <c r="A120" s="33"/>
      <c r="B120" s="34" t="s">
        <v>114</v>
      </c>
      <c r="C120" s="35" t="s">
        <v>20</v>
      </c>
      <c r="D120" s="95"/>
      <c r="E120" s="35" t="s">
        <v>25</v>
      </c>
      <c r="F120" s="71"/>
      <c r="G120" s="21" t="s">
        <v>22</v>
      </c>
      <c r="H120" s="116"/>
      <c r="I120" s="61"/>
      <c r="J120" s="61"/>
      <c r="K120" s="62" t="n">
        <f aca="false">L120+M120</f>
        <v>0</v>
      </c>
      <c r="L120" s="62"/>
      <c r="M120" s="62"/>
      <c r="N120" s="61"/>
      <c r="O120" s="62" t="n">
        <f aca="false">P120+Q120</f>
        <v>0</v>
      </c>
      <c r="P120" s="62"/>
      <c r="Q120" s="63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42"/>
      <c r="G121" s="43" t="s">
        <v>26</v>
      </c>
      <c r="H121" s="115"/>
      <c r="I121" s="64"/>
      <c r="J121" s="64"/>
      <c r="K121" s="65" t="n">
        <f aca="false">L121+M121</f>
        <v>0</v>
      </c>
      <c r="L121" s="65"/>
      <c r="M121" s="65"/>
      <c r="N121" s="64"/>
      <c r="O121" s="65" t="n">
        <f aca="false">P121+Q121</f>
        <v>0</v>
      </c>
      <c r="P121" s="65"/>
      <c r="Q121" s="6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 t="s">
        <v>115</v>
      </c>
      <c r="C122" s="19" t="s">
        <v>20</v>
      </c>
      <c r="D122" s="19"/>
      <c r="E122" s="19" t="s">
        <v>116</v>
      </c>
      <c r="F122" s="20"/>
      <c r="G122" s="21" t="s">
        <v>22</v>
      </c>
      <c r="H122" s="114" t="n">
        <v>3</v>
      </c>
      <c r="I122" s="67" t="n">
        <v>1</v>
      </c>
      <c r="J122" s="67" t="n">
        <v>1</v>
      </c>
      <c r="K122" s="68" t="n">
        <f aca="false">L122+M122</f>
        <v>0</v>
      </c>
      <c r="L122" s="68"/>
      <c r="M122" s="68"/>
      <c r="N122" s="67" t="n">
        <v>3</v>
      </c>
      <c r="O122" s="68" t="n">
        <f aca="false">P122+Q122</f>
        <v>0</v>
      </c>
      <c r="P122" s="68"/>
      <c r="Q122" s="69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/>
      <c r="G123" s="27" t="s">
        <v>26</v>
      </c>
      <c r="H123" s="117" t="n">
        <v>5</v>
      </c>
      <c r="I123" s="58"/>
      <c r="J123" s="58"/>
      <c r="K123" s="59" t="n">
        <f aca="false">L123+M123</f>
        <v>0</v>
      </c>
      <c r="L123" s="59"/>
      <c r="M123" s="59"/>
      <c r="N123" s="58" t="n">
        <v>2</v>
      </c>
      <c r="O123" s="59" t="n">
        <f aca="false">P123+Q123</f>
        <v>0</v>
      </c>
      <c r="P123" s="59"/>
      <c r="Q123" s="60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" hidden="false" customHeight="true" outlineLevel="0" collapsed="false">
      <c r="A124" s="33"/>
      <c r="B124" s="34" t="s">
        <v>117</v>
      </c>
      <c r="C124" s="35" t="s">
        <v>33</v>
      </c>
      <c r="D124" s="35" t="s">
        <v>118</v>
      </c>
      <c r="E124" s="35" t="s">
        <v>25</v>
      </c>
      <c r="F124" s="89"/>
      <c r="G124" s="21" t="s">
        <v>22</v>
      </c>
      <c r="H124" s="116"/>
      <c r="I124" s="61"/>
      <c r="J124" s="61"/>
      <c r="K124" s="62" t="n">
        <f aca="false">L124+M124</f>
        <v>0</v>
      </c>
      <c r="L124" s="62"/>
      <c r="M124" s="62"/>
      <c r="N124" s="61"/>
      <c r="O124" s="62" t="n">
        <f aca="false">P124+Q124</f>
        <v>0</v>
      </c>
      <c r="P124" s="62"/>
      <c r="Q124" s="63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" hidden="false" customHeight="false" outlineLevel="0" collapsed="false">
      <c r="A125" s="33"/>
      <c r="B125" s="34"/>
      <c r="C125" s="34"/>
      <c r="D125" s="34"/>
      <c r="E125" s="34"/>
      <c r="F125" s="42"/>
      <c r="G125" s="37" t="s">
        <v>23</v>
      </c>
      <c r="H125" s="116"/>
      <c r="I125" s="61"/>
      <c r="J125" s="61"/>
      <c r="K125" s="62" t="n">
        <f aca="false">L125+M125</f>
        <v>0</v>
      </c>
      <c r="L125" s="62"/>
      <c r="M125" s="62"/>
      <c r="N125" s="61" t="n">
        <v>1</v>
      </c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" hidden="false" customHeight="false" outlineLevel="0" collapsed="false">
      <c r="A126" s="33"/>
      <c r="B126" s="34"/>
      <c r="C126" s="34"/>
      <c r="D126" s="34"/>
      <c r="E126" s="34"/>
      <c r="F126" s="42"/>
      <c r="G126" s="43" t="s">
        <v>26</v>
      </c>
      <c r="H126" s="115"/>
      <c r="I126" s="64"/>
      <c r="J126" s="64"/>
      <c r="K126" s="65" t="n">
        <f aca="false">L126+M126</f>
        <v>0</v>
      </c>
      <c r="L126" s="65"/>
      <c r="M126" s="65"/>
      <c r="N126" s="64" t="n">
        <v>5</v>
      </c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119</v>
      </c>
      <c r="C127" s="19" t="s">
        <v>20</v>
      </c>
      <c r="D127" s="19"/>
      <c r="E127" s="19" t="s">
        <v>25</v>
      </c>
      <c r="F127" s="20"/>
      <c r="G127" s="21" t="s">
        <v>22</v>
      </c>
      <c r="H127" s="116"/>
      <c r="I127" s="67"/>
      <c r="J127" s="67"/>
      <c r="K127" s="68" t="n">
        <f aca="false">L127+M127</f>
        <v>0</v>
      </c>
      <c r="L127" s="68"/>
      <c r="M127" s="68"/>
      <c r="N127" s="67" t="n">
        <v>1</v>
      </c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26"/>
      <c r="G128" s="27" t="s">
        <v>26</v>
      </c>
      <c r="H128" s="118" t="n">
        <v>2</v>
      </c>
      <c r="I128" s="58"/>
      <c r="J128" s="58"/>
      <c r="K128" s="59" t="n">
        <f aca="false">L128+M128</f>
        <v>0</v>
      </c>
      <c r="L128" s="59"/>
      <c r="M128" s="59"/>
      <c r="N128" s="58" t="n">
        <v>1</v>
      </c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54"/>
      <c r="B129" s="55" t="s">
        <v>120</v>
      </c>
      <c r="C129" s="56" t="s">
        <v>20</v>
      </c>
      <c r="D129" s="56"/>
      <c r="E129" s="56" t="s">
        <v>25</v>
      </c>
      <c r="F129" s="36"/>
      <c r="G129" s="21" t="s">
        <v>22</v>
      </c>
      <c r="H129" s="116"/>
      <c r="I129" s="61"/>
      <c r="J129" s="61"/>
      <c r="K129" s="62" t="n">
        <f aca="false">L129+M129</f>
        <v>0</v>
      </c>
      <c r="L129" s="62"/>
      <c r="M129" s="62"/>
      <c r="N129" s="61" t="n">
        <v>3</v>
      </c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57"/>
      <c r="G130" s="27" t="s">
        <v>26</v>
      </c>
      <c r="H130" s="115"/>
      <c r="I130" s="58"/>
      <c r="J130" s="58"/>
      <c r="K130" s="59" t="n">
        <f aca="false">L130+M130</f>
        <v>0</v>
      </c>
      <c r="L130" s="59"/>
      <c r="M130" s="59"/>
      <c r="N130" s="58"/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33"/>
      <c r="B131" s="34" t="s">
        <v>152</v>
      </c>
      <c r="C131" s="35" t="s">
        <v>20</v>
      </c>
      <c r="D131" s="35"/>
      <c r="E131" s="35" t="s">
        <v>25</v>
      </c>
      <c r="F131" s="36"/>
      <c r="G131" s="21" t="s">
        <v>22</v>
      </c>
      <c r="H131" s="116"/>
      <c r="I131" s="61"/>
      <c r="J131" s="61"/>
      <c r="K131" s="62" t="n">
        <f aca="false">L131+M131</f>
        <v>0</v>
      </c>
      <c r="L131" s="62"/>
      <c r="M131" s="62"/>
      <c r="N131" s="61" t="n">
        <v>1</v>
      </c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/>
      <c r="G132" s="43" t="s">
        <v>26</v>
      </c>
      <c r="H132" s="117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122</v>
      </c>
      <c r="C133" s="19" t="s">
        <v>20</v>
      </c>
      <c r="D133" s="19"/>
      <c r="E133" s="19" t="s">
        <v>116</v>
      </c>
      <c r="F133" s="20"/>
      <c r="G133" s="21" t="s">
        <v>22</v>
      </c>
      <c r="H133" s="114" t="n">
        <v>8</v>
      </c>
      <c r="I133" s="67" t="n">
        <v>4</v>
      </c>
      <c r="J133" s="67" t="n">
        <v>5</v>
      </c>
      <c r="K133" s="68" t="n">
        <f aca="false">L133+M133</f>
        <v>0</v>
      </c>
      <c r="L133" s="68"/>
      <c r="M133" s="68"/>
      <c r="N133" s="67" t="n">
        <v>11</v>
      </c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115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33"/>
      <c r="B135" s="34" t="s">
        <v>123</v>
      </c>
      <c r="C135" s="35" t="s">
        <v>20</v>
      </c>
      <c r="D135" s="35"/>
      <c r="E135" s="35" t="s">
        <v>25</v>
      </c>
      <c r="F135" s="36"/>
      <c r="G135" s="21" t="s">
        <v>22</v>
      </c>
      <c r="H135" s="114" t="n">
        <v>2</v>
      </c>
      <c r="I135" s="61" t="n">
        <v>2</v>
      </c>
      <c r="J135" s="61" t="n">
        <v>2</v>
      </c>
      <c r="K135" s="62" t="n">
        <f aca="false">L135+M135</f>
        <v>0</v>
      </c>
      <c r="L135" s="62"/>
      <c r="M135" s="62"/>
      <c r="N135" s="61" t="n">
        <v>1</v>
      </c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/>
      <c r="G136" s="43" t="s">
        <v>26</v>
      </c>
      <c r="H136" s="115"/>
      <c r="I136" s="64"/>
      <c r="J136" s="64"/>
      <c r="K136" s="65" t="n">
        <f aca="false">L136+M136</f>
        <v>0</v>
      </c>
      <c r="L136" s="65"/>
      <c r="M136" s="65"/>
      <c r="N136" s="64" t="n">
        <v>1</v>
      </c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124</v>
      </c>
      <c r="C137" s="19" t="s">
        <v>20</v>
      </c>
      <c r="D137" s="19"/>
      <c r="E137" s="19" t="s">
        <v>88</v>
      </c>
      <c r="F137" s="20"/>
      <c r="G137" s="21" t="s">
        <v>22</v>
      </c>
      <c r="H137" s="114" t="n">
        <v>3</v>
      </c>
      <c r="I137" s="67"/>
      <c r="J137" s="67"/>
      <c r="K137" s="68" t="n">
        <f aca="false">L137+M137</f>
        <v>0</v>
      </c>
      <c r="L137" s="68"/>
      <c r="M137" s="68"/>
      <c r="N137" s="67" t="n">
        <v>3</v>
      </c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/>
      <c r="G138" s="27" t="s">
        <v>23</v>
      </c>
      <c r="H138" s="117" t="n">
        <v>2</v>
      </c>
      <c r="I138" s="58" t="n">
        <v>2</v>
      </c>
      <c r="J138" s="58" t="n">
        <v>2</v>
      </c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125</v>
      </c>
      <c r="C139" s="35" t="s">
        <v>33</v>
      </c>
      <c r="D139" s="35" t="s">
        <v>126</v>
      </c>
      <c r="E139" s="35" t="s">
        <v>127</v>
      </c>
      <c r="F139" s="36"/>
      <c r="G139" s="21" t="s">
        <v>22</v>
      </c>
      <c r="H139" s="114" t="n">
        <v>4</v>
      </c>
      <c r="I139" s="61" t="n">
        <v>2</v>
      </c>
      <c r="J139" s="61" t="n">
        <v>2</v>
      </c>
      <c r="K139" s="62" t="n">
        <f aca="false">L139+M139</f>
        <v>0</v>
      </c>
      <c r="L139" s="62"/>
      <c r="M139" s="62"/>
      <c r="N139" s="61" t="n">
        <v>5</v>
      </c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/>
      <c r="G140" s="43" t="s">
        <v>23</v>
      </c>
      <c r="H140" s="117" t="n">
        <v>18</v>
      </c>
      <c r="I140" s="64" t="n">
        <v>2</v>
      </c>
      <c r="J140" s="64" t="n">
        <v>2</v>
      </c>
      <c r="K140" s="65" t="n">
        <f aca="false">L140+M140</f>
        <v>0</v>
      </c>
      <c r="L140" s="65"/>
      <c r="M140" s="65"/>
      <c r="N140" s="64" t="n">
        <v>1</v>
      </c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128</v>
      </c>
      <c r="C141" s="19" t="s">
        <v>20</v>
      </c>
      <c r="D141" s="19"/>
      <c r="E141" s="19" t="s">
        <v>25</v>
      </c>
      <c r="F141" s="20"/>
      <c r="G141" s="21" t="s">
        <v>22</v>
      </c>
      <c r="H141" s="114" t="n">
        <v>8</v>
      </c>
      <c r="I141" s="67" t="n">
        <v>7</v>
      </c>
      <c r="J141" s="67" t="n">
        <v>7</v>
      </c>
      <c r="K141" s="68" t="n">
        <f aca="false">L141+M141</f>
        <v>0</v>
      </c>
      <c r="L141" s="68"/>
      <c r="M141" s="68"/>
      <c r="N141" s="67" t="n">
        <v>11</v>
      </c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115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.75" hidden="false" customHeight="true" outlineLevel="0" collapsed="false">
      <c r="A143" s="72"/>
      <c r="B143" s="73" t="s">
        <v>129</v>
      </c>
      <c r="C143" s="74" t="s">
        <v>38</v>
      </c>
      <c r="D143" s="74" t="s">
        <v>130</v>
      </c>
      <c r="E143" s="74" t="s">
        <v>25</v>
      </c>
      <c r="F143" s="20"/>
      <c r="G143" s="21" t="s">
        <v>22</v>
      </c>
      <c r="H143" s="114" t="n">
        <v>5</v>
      </c>
      <c r="I143" s="67" t="n">
        <v>4</v>
      </c>
      <c r="J143" s="67" t="n">
        <v>4</v>
      </c>
      <c r="K143" s="68" t="n">
        <f aca="false">L143+M143</f>
        <v>0</v>
      </c>
      <c r="L143" s="68"/>
      <c r="M143" s="68"/>
      <c r="N143" s="67" t="n">
        <v>1</v>
      </c>
      <c r="O143" s="68" t="n">
        <f aca="false">P143+Q143</f>
        <v>0</v>
      </c>
      <c r="P143" s="68"/>
      <c r="Q143" s="69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/>
      <c r="G144" s="43" t="s">
        <v>26</v>
      </c>
      <c r="H144" s="115"/>
      <c r="I144" s="64"/>
      <c r="J144" s="64"/>
      <c r="K144" s="65" t="n">
        <f aca="false">L144+M144</f>
        <v>0</v>
      </c>
      <c r="L144" s="65"/>
      <c r="M144" s="65"/>
      <c r="N144" s="64" t="n">
        <v>5</v>
      </c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6.5" hidden="false" customHeight="true" outlineLevel="0" collapsed="false">
      <c r="A145" s="17"/>
      <c r="B145" s="18" t="s">
        <v>131</v>
      </c>
      <c r="C145" s="19" t="s">
        <v>38</v>
      </c>
      <c r="D145" s="19" t="s">
        <v>130</v>
      </c>
      <c r="E145" s="19" t="s">
        <v>25</v>
      </c>
      <c r="F145" s="20"/>
      <c r="G145" s="21" t="s">
        <v>22</v>
      </c>
      <c r="H145" s="114" t="n">
        <v>4</v>
      </c>
      <c r="I145" s="67" t="n">
        <v>2</v>
      </c>
      <c r="J145" s="67" t="n">
        <v>3</v>
      </c>
      <c r="K145" s="68" t="n">
        <f aca="false">L145+M145</f>
        <v>0</v>
      </c>
      <c r="L145" s="68"/>
      <c r="M145" s="68"/>
      <c r="N145" s="67" t="n">
        <v>3</v>
      </c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6.5" hidden="false" customHeight="true" outlineLevel="0" collapsed="false">
      <c r="A146" s="17"/>
      <c r="B146" s="18"/>
      <c r="C146" s="18"/>
      <c r="D146" s="18"/>
      <c r="E146" s="18"/>
      <c r="F146" s="26"/>
      <c r="G146" s="27" t="s">
        <v>26</v>
      </c>
      <c r="H146" s="118" t="n">
        <v>1</v>
      </c>
      <c r="I146" s="58" t="n">
        <v>1</v>
      </c>
      <c r="J146" s="58" t="n">
        <v>1</v>
      </c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9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6.5" hidden="false" customHeight="true" outlineLevel="0" collapsed="false">
      <c r="A147" s="33"/>
      <c r="B147" s="34" t="s">
        <v>132</v>
      </c>
      <c r="C147" s="35" t="s">
        <v>20</v>
      </c>
      <c r="D147" s="35"/>
      <c r="E147" s="35" t="s">
        <v>69</v>
      </c>
      <c r="F147" s="38"/>
      <c r="G147" s="21" t="s">
        <v>22</v>
      </c>
      <c r="H147" s="114" t="n">
        <v>3</v>
      </c>
      <c r="I147" s="61"/>
      <c r="J147" s="61"/>
      <c r="K147" s="62" t="n">
        <f aca="false">L147+M147</f>
        <v>0</v>
      </c>
      <c r="L147" s="62"/>
      <c r="M147" s="62"/>
      <c r="N147" s="61"/>
      <c r="O147" s="62" t="n">
        <f aca="false">P147+Q147</f>
        <v>0</v>
      </c>
      <c r="P147" s="62"/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6.5" hidden="false" customHeight="true" outlineLevel="0" collapsed="false">
      <c r="A148" s="33"/>
      <c r="B148" s="34"/>
      <c r="C148" s="34"/>
      <c r="D148" s="34"/>
      <c r="E148" s="34"/>
      <c r="F148" s="42"/>
      <c r="G148" s="43" t="s">
        <v>26</v>
      </c>
      <c r="H148" s="118" t="n">
        <v>5</v>
      </c>
      <c r="I148" s="64"/>
      <c r="J148" s="64"/>
      <c r="K148" s="65" t="n">
        <f aca="false">L148+M148</f>
        <v>0</v>
      </c>
      <c r="L148" s="65"/>
      <c r="M148" s="65"/>
      <c r="N148" s="64"/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6.5" hidden="false" customHeight="true" outlineLevel="0" collapsed="false">
      <c r="A149" s="72"/>
      <c r="B149" s="73" t="s">
        <v>133</v>
      </c>
      <c r="C149" s="74" t="s">
        <v>20</v>
      </c>
      <c r="D149" s="74"/>
      <c r="E149" s="74" t="s">
        <v>25</v>
      </c>
      <c r="F149" s="22"/>
      <c r="G149" s="21" t="s">
        <v>22</v>
      </c>
      <c r="H149" s="114" t="n">
        <v>1</v>
      </c>
      <c r="I149" s="67"/>
      <c r="J149" s="67"/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6.5" hidden="false" customHeight="true" outlineLevel="0" collapsed="false">
      <c r="A150" s="72"/>
      <c r="B150" s="73"/>
      <c r="C150" s="73"/>
      <c r="D150" s="73"/>
      <c r="E150" s="73"/>
      <c r="F150" s="42"/>
      <c r="G150" s="43" t="s">
        <v>26</v>
      </c>
      <c r="H150" s="117" t="n">
        <v>1</v>
      </c>
      <c r="I150" s="64"/>
      <c r="J150" s="64"/>
      <c r="K150" s="65" t="n">
        <f aca="false">L150+M150</f>
        <v>0</v>
      </c>
      <c r="L150" s="65"/>
      <c r="M150" s="65"/>
      <c r="N150" s="64"/>
      <c r="O150" s="65" t="n">
        <f aca="false">P150+Q150</f>
        <v>0</v>
      </c>
      <c r="P150" s="65"/>
      <c r="Q150" s="6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6.5" hidden="false" customHeight="true" outlineLevel="0" collapsed="false">
      <c r="A151" s="72"/>
      <c r="B151" s="73" t="s">
        <v>134</v>
      </c>
      <c r="C151" s="74" t="s">
        <v>20</v>
      </c>
      <c r="D151" s="74"/>
      <c r="E151" s="74" t="s">
        <v>25</v>
      </c>
      <c r="F151" s="20"/>
      <c r="G151" s="21" t="s">
        <v>22</v>
      </c>
      <c r="H151" s="116"/>
      <c r="I151" s="67"/>
      <c r="J151" s="67"/>
      <c r="K151" s="68" t="n">
        <f aca="false">L151+M151</f>
        <v>0</v>
      </c>
      <c r="L151" s="68"/>
      <c r="M151" s="68"/>
      <c r="N151" s="67"/>
      <c r="O151" s="68" t="n">
        <f aca="false">P151+Q151</f>
        <v>0</v>
      </c>
      <c r="P151" s="68"/>
      <c r="Q151" s="69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/>
      <c r="G152" s="43" t="s">
        <v>26</v>
      </c>
      <c r="H152" s="115"/>
      <c r="I152" s="64"/>
      <c r="J152" s="64"/>
      <c r="K152" s="65" t="n">
        <f aca="false">L152+M152</f>
        <v>0</v>
      </c>
      <c r="L152" s="65"/>
      <c r="M152" s="65"/>
      <c r="N152" s="64" t="n">
        <v>1</v>
      </c>
      <c r="O152" s="65" t="n">
        <f aca="false">P152+Q152</f>
        <v>0</v>
      </c>
      <c r="P152" s="65"/>
      <c r="Q152" s="6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true" outlineLevel="0" collapsed="false">
      <c r="A153" s="17"/>
      <c r="B153" s="18" t="s">
        <v>135</v>
      </c>
      <c r="C153" s="19" t="s">
        <v>20</v>
      </c>
      <c r="D153" s="19"/>
      <c r="E153" s="19" t="s">
        <v>69</v>
      </c>
      <c r="F153" s="22"/>
      <c r="G153" s="21" t="s">
        <v>22</v>
      </c>
      <c r="H153" s="114" t="n">
        <v>4</v>
      </c>
      <c r="I153" s="67" t="n">
        <v>2</v>
      </c>
      <c r="J153" s="67" t="n">
        <v>2</v>
      </c>
      <c r="K153" s="68" t="n">
        <f aca="false">L153+M153</f>
        <v>0</v>
      </c>
      <c r="L153" s="68"/>
      <c r="M153" s="68"/>
      <c r="N153" s="67" t="n">
        <v>2</v>
      </c>
      <c r="O153" s="68" t="n">
        <f aca="false">P153+Q153</f>
        <v>0</v>
      </c>
      <c r="P153" s="68"/>
      <c r="Q153" s="69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26"/>
      <c r="G154" s="27" t="s">
        <v>26</v>
      </c>
      <c r="H154" s="117" t="n">
        <v>1</v>
      </c>
      <c r="I154" s="58"/>
      <c r="J154" s="58"/>
      <c r="K154" s="59" t="n">
        <f aca="false">L154+M154</f>
        <v>0</v>
      </c>
      <c r="L154" s="59"/>
      <c r="M154" s="59"/>
      <c r="N154" s="58" t="n">
        <v>1</v>
      </c>
      <c r="O154" s="59" t="n">
        <f aca="false">P154+Q154</f>
        <v>0</v>
      </c>
      <c r="P154" s="59"/>
      <c r="Q154" s="60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33"/>
      <c r="B155" s="34" t="s">
        <v>136</v>
      </c>
      <c r="C155" s="35" t="s">
        <v>20</v>
      </c>
      <c r="D155" s="35"/>
      <c r="E155" s="35" t="s">
        <v>98</v>
      </c>
      <c r="F155" s="36"/>
      <c r="G155" s="21" t="s">
        <v>22</v>
      </c>
      <c r="H155" s="114" t="n">
        <v>9</v>
      </c>
      <c r="I155" s="61" t="n">
        <v>4</v>
      </c>
      <c r="J155" s="61" t="n">
        <v>4</v>
      </c>
      <c r="K155" s="62" t="n">
        <f aca="false">L155+M155</f>
        <v>0</v>
      </c>
      <c r="L155" s="62"/>
      <c r="M155" s="62"/>
      <c r="N155" s="61" t="n">
        <v>6</v>
      </c>
      <c r="O155" s="62" t="n">
        <f aca="false">P155+Q155</f>
        <v>0</v>
      </c>
      <c r="P155" s="62"/>
      <c r="Q155" s="63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/>
      <c r="G156" s="43" t="s">
        <v>23</v>
      </c>
      <c r="H156" s="117" t="n">
        <v>2</v>
      </c>
      <c r="I156" s="64" t="n">
        <v>3</v>
      </c>
      <c r="J156" s="64" t="n">
        <v>3</v>
      </c>
      <c r="K156" s="65" t="n">
        <f aca="false">L156+M156</f>
        <v>0</v>
      </c>
      <c r="L156" s="65"/>
      <c r="M156" s="65"/>
      <c r="N156" s="64"/>
      <c r="O156" s="65" t="n">
        <f aca="false">P156+Q156</f>
        <v>0</v>
      </c>
      <c r="P156" s="65"/>
      <c r="Q156" s="6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17"/>
      <c r="B157" s="18" t="s">
        <v>137</v>
      </c>
      <c r="C157" s="19" t="s">
        <v>20</v>
      </c>
      <c r="D157" s="19"/>
      <c r="E157" s="19" t="s">
        <v>25</v>
      </c>
      <c r="F157" s="20"/>
      <c r="G157" s="21" t="s">
        <v>22</v>
      </c>
      <c r="H157" s="116"/>
      <c r="I157" s="67"/>
      <c r="J157" s="67"/>
      <c r="K157" s="68" t="n">
        <f aca="false">L157+M157</f>
        <v>0</v>
      </c>
      <c r="L157" s="68"/>
      <c r="M157" s="68"/>
      <c r="N157" s="67"/>
      <c r="O157" s="68" t="n">
        <f aca="false">P157+Q157</f>
        <v>0</v>
      </c>
      <c r="P157" s="68"/>
      <c r="Q157" s="69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20.25" hidden="false" customHeight="true" outlineLevel="0" collapsed="false">
      <c r="A158" s="17"/>
      <c r="B158" s="18"/>
      <c r="C158" s="18"/>
      <c r="D158" s="18"/>
      <c r="E158" s="18"/>
      <c r="F158" s="26"/>
      <c r="G158" s="27" t="s">
        <v>26</v>
      </c>
      <c r="H158" s="118" t="n">
        <v>2</v>
      </c>
      <c r="I158" s="58"/>
      <c r="J158" s="58"/>
      <c r="K158" s="59" t="n">
        <f aca="false">L158+M158</f>
        <v>0</v>
      </c>
      <c r="L158" s="59"/>
      <c r="M158" s="59"/>
      <c r="N158" s="58"/>
      <c r="O158" s="59" t="n">
        <f aca="false">P158+Q158</f>
        <v>0</v>
      </c>
      <c r="P158" s="59"/>
      <c r="Q158" s="60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 t="s">
        <v>138</v>
      </c>
      <c r="C159" s="56" t="s">
        <v>33</v>
      </c>
      <c r="D159" s="56" t="s">
        <v>139</v>
      </c>
      <c r="E159" s="56" t="s">
        <v>25</v>
      </c>
      <c r="F159" s="36"/>
      <c r="G159" s="21" t="s">
        <v>22</v>
      </c>
      <c r="H159" s="116"/>
      <c r="I159" s="61"/>
      <c r="J159" s="61"/>
      <c r="K159" s="62" t="n">
        <f aca="false">L159+M159</f>
        <v>0</v>
      </c>
      <c r="L159" s="62"/>
      <c r="M159" s="62"/>
      <c r="N159" s="61"/>
      <c r="O159" s="62" t="n">
        <f aca="false">P159+Q159</f>
        <v>0</v>
      </c>
      <c r="P159" s="62"/>
      <c r="Q159" s="63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27" t="s">
        <v>26</v>
      </c>
      <c r="H160" s="117" t="n">
        <v>3</v>
      </c>
      <c r="I160" s="58" t="n">
        <v>1</v>
      </c>
      <c r="J160" s="58" t="n">
        <v>1</v>
      </c>
      <c r="K160" s="59" t="n">
        <f aca="false">L160+M160</f>
        <v>0</v>
      </c>
      <c r="L160" s="59"/>
      <c r="M160" s="59"/>
      <c r="N160" s="58"/>
      <c r="O160" s="59" t="n">
        <f aca="false">P160+Q160</f>
        <v>0</v>
      </c>
      <c r="P160" s="59"/>
      <c r="Q160" s="60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true" outlineLevel="0" collapsed="false">
      <c r="A161" s="33"/>
      <c r="B161" s="34" t="s">
        <v>140</v>
      </c>
      <c r="C161" s="35" t="s">
        <v>20</v>
      </c>
      <c r="D161" s="35"/>
      <c r="E161" s="35" t="s">
        <v>141</v>
      </c>
      <c r="F161" s="36"/>
      <c r="G161" s="21" t="s">
        <v>22</v>
      </c>
      <c r="H161" s="114" t="n">
        <v>1</v>
      </c>
      <c r="I161" s="61" t="n">
        <v>1</v>
      </c>
      <c r="J161" s="61" t="n">
        <v>1</v>
      </c>
      <c r="K161" s="62" t="n">
        <f aca="false">L161+M161</f>
        <v>0</v>
      </c>
      <c r="L161" s="62"/>
      <c r="M161" s="62"/>
      <c r="N161" s="61" t="n">
        <v>2</v>
      </c>
      <c r="O161" s="62" t="n">
        <f aca="false">P161+Q161</f>
        <v>0</v>
      </c>
      <c r="P161" s="62"/>
      <c r="Q161" s="63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/>
      <c r="G162" s="43" t="s">
        <v>26</v>
      </c>
      <c r="H162" s="115"/>
      <c r="I162" s="64"/>
      <c r="J162" s="64"/>
      <c r="K162" s="65" t="n">
        <f aca="false">L162+M162</f>
        <v>0</v>
      </c>
      <c r="L162" s="65"/>
      <c r="M162" s="65"/>
      <c r="N162" s="64"/>
      <c r="O162" s="65" t="n">
        <f aca="false">P162+Q162</f>
        <v>0</v>
      </c>
      <c r="P162" s="65"/>
      <c r="Q162" s="6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17"/>
      <c r="B163" s="18" t="s">
        <v>142</v>
      </c>
      <c r="C163" s="19" t="s">
        <v>20</v>
      </c>
      <c r="D163" s="19"/>
      <c r="E163" s="19" t="s">
        <v>25</v>
      </c>
      <c r="F163" s="20"/>
      <c r="G163" s="21" t="s">
        <v>22</v>
      </c>
      <c r="H163" s="114" t="n">
        <v>3</v>
      </c>
      <c r="I163" s="67" t="n">
        <v>2</v>
      </c>
      <c r="J163" s="67" t="n">
        <v>2</v>
      </c>
      <c r="K163" s="68" t="n">
        <f aca="false">L163+M163</f>
        <v>0</v>
      </c>
      <c r="L163" s="68"/>
      <c r="M163" s="68"/>
      <c r="N163" s="67" t="n">
        <v>1</v>
      </c>
      <c r="O163" s="68" t="n">
        <f aca="false">P163+Q163</f>
        <v>0</v>
      </c>
      <c r="P163" s="68"/>
      <c r="Q163" s="69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/>
      <c r="G164" s="27" t="s">
        <v>26</v>
      </c>
      <c r="H164" s="117" t="n">
        <v>4</v>
      </c>
      <c r="I164" s="58"/>
      <c r="J164" s="58"/>
      <c r="K164" s="59" t="n">
        <f aca="false">L164+M164</f>
        <v>0</v>
      </c>
      <c r="L164" s="59"/>
      <c r="M164" s="59"/>
      <c r="N164" s="58" t="n">
        <v>2</v>
      </c>
      <c r="O164" s="59" t="n">
        <f aca="false">P164+Q164</f>
        <v>0</v>
      </c>
      <c r="P164" s="59"/>
      <c r="Q164" s="60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33"/>
      <c r="B165" s="34" t="s">
        <v>143</v>
      </c>
      <c r="C165" s="35" t="s">
        <v>20</v>
      </c>
      <c r="D165" s="35"/>
      <c r="E165" s="35" t="s">
        <v>25</v>
      </c>
      <c r="F165" s="36"/>
      <c r="G165" s="21" t="s">
        <v>22</v>
      </c>
      <c r="H165" s="116"/>
      <c r="I165" s="61"/>
      <c r="J165" s="61"/>
      <c r="K165" s="62" t="n">
        <f aca="false">L165+M165</f>
        <v>0</v>
      </c>
      <c r="L165" s="62"/>
      <c r="M165" s="62"/>
      <c r="N165" s="61"/>
      <c r="O165" s="62" t="n">
        <f aca="false">P165+Q165</f>
        <v>0</v>
      </c>
      <c r="P165" s="62"/>
      <c r="Q165" s="63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/>
      <c r="G166" s="43" t="s">
        <v>26</v>
      </c>
      <c r="H166" s="117" t="n">
        <v>1</v>
      </c>
      <c r="I166" s="64"/>
      <c r="J166" s="64"/>
      <c r="K166" s="65" t="n">
        <f aca="false">L166+M166</f>
        <v>0</v>
      </c>
      <c r="L166" s="65"/>
      <c r="M166" s="65"/>
      <c r="N166" s="64"/>
      <c r="O166" s="65" t="n">
        <f aca="false">P166+Q166</f>
        <v>0</v>
      </c>
      <c r="P166" s="65"/>
      <c r="Q166" s="6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 t="s">
        <v>144</v>
      </c>
      <c r="C167" s="19" t="s">
        <v>20</v>
      </c>
      <c r="D167" s="19"/>
      <c r="E167" s="19" t="s">
        <v>81</v>
      </c>
      <c r="F167" s="20"/>
      <c r="G167" s="21" t="s">
        <v>22</v>
      </c>
      <c r="H167" s="114" t="n">
        <v>1</v>
      </c>
      <c r="I167" s="67"/>
      <c r="J167" s="67"/>
      <c r="K167" s="68" t="n">
        <f aca="false">L167+M167</f>
        <v>0</v>
      </c>
      <c r="L167" s="68"/>
      <c r="M167" s="68"/>
      <c r="N167" s="67" t="n">
        <v>2</v>
      </c>
      <c r="O167" s="68" t="n">
        <f aca="false">P167+Q167</f>
        <v>0</v>
      </c>
      <c r="P167" s="68"/>
      <c r="Q167" s="69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/>
      <c r="G168" s="27" t="s">
        <v>26</v>
      </c>
      <c r="H168" s="117" t="n">
        <v>5</v>
      </c>
      <c r="I168" s="58"/>
      <c r="J168" s="58"/>
      <c r="K168" s="59" t="n">
        <f aca="false">L168+M168</f>
        <v>0</v>
      </c>
      <c r="L168" s="59"/>
      <c r="M168" s="59"/>
      <c r="N168" s="58" t="n">
        <v>1</v>
      </c>
      <c r="O168" s="59" t="n">
        <f aca="false">P168+Q168</f>
        <v>0</v>
      </c>
      <c r="P168" s="59"/>
      <c r="Q168" s="60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" hidden="false" customHeight="true" outlineLevel="0" collapsed="false">
      <c r="A169" s="33"/>
      <c r="B169" s="34" t="s">
        <v>145</v>
      </c>
      <c r="C169" s="35" t="s">
        <v>20</v>
      </c>
      <c r="D169" s="35"/>
      <c r="E169" s="35" t="s">
        <v>98</v>
      </c>
      <c r="F169" s="36"/>
      <c r="G169" s="21" t="s">
        <v>22</v>
      </c>
      <c r="H169" s="116"/>
      <c r="I169" s="61"/>
      <c r="J169" s="61"/>
      <c r="K169" s="62" t="n">
        <f aca="false">L169+M169</f>
        <v>0</v>
      </c>
      <c r="L169" s="62"/>
      <c r="M169" s="62"/>
      <c r="N169" s="61"/>
      <c r="O169" s="62" t="n">
        <f aca="false">P169+Q169</f>
        <v>0</v>
      </c>
      <c r="P169" s="62"/>
      <c r="Q169" s="63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71"/>
      <c r="G170" s="43" t="s">
        <v>23</v>
      </c>
      <c r="H170" s="115"/>
      <c r="I170" s="64"/>
      <c r="J170" s="64"/>
      <c r="K170" s="65" t="n">
        <f aca="false">L170+M170</f>
        <v>0</v>
      </c>
      <c r="L170" s="65"/>
      <c r="M170" s="65"/>
      <c r="N170" s="64"/>
      <c r="O170" s="65" t="n">
        <f aca="false">P170+Q170</f>
        <v>0</v>
      </c>
      <c r="P170" s="65"/>
      <c r="Q170" s="6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" hidden="false" customHeight="true" outlineLevel="0" collapsed="false">
      <c r="A171" s="17"/>
      <c r="B171" s="18" t="s">
        <v>146</v>
      </c>
      <c r="C171" s="19" t="s">
        <v>20</v>
      </c>
      <c r="D171" s="19"/>
      <c r="E171" s="19" t="s">
        <v>25</v>
      </c>
      <c r="F171" s="22"/>
      <c r="G171" s="21" t="s">
        <v>22</v>
      </c>
      <c r="H171" s="114" t="n">
        <v>3</v>
      </c>
      <c r="I171" s="67" t="n">
        <v>1</v>
      </c>
      <c r="J171" s="67" t="n">
        <v>1</v>
      </c>
      <c r="K171" s="68" t="n">
        <f aca="false">L171+M171</f>
        <v>0</v>
      </c>
      <c r="L171" s="68"/>
      <c r="M171" s="68"/>
      <c r="N171" s="67"/>
      <c r="O171" s="68" t="n">
        <f aca="false">P171+Q171</f>
        <v>0</v>
      </c>
      <c r="P171" s="68"/>
      <c r="Q171" s="69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/>
      <c r="G172" s="27" t="s">
        <v>26</v>
      </c>
      <c r="H172" s="115"/>
      <c r="I172" s="58"/>
      <c r="J172" s="58"/>
      <c r="K172" s="59" t="n">
        <f aca="false">L172+M172</f>
        <v>0</v>
      </c>
      <c r="L172" s="59"/>
      <c r="M172" s="59"/>
      <c r="N172" s="58"/>
      <c r="O172" s="59" t="n">
        <f aca="false">P172+Q172</f>
        <v>0</v>
      </c>
      <c r="P172" s="59"/>
      <c r="Q172" s="60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 t="s">
        <v>147</v>
      </c>
      <c r="C173" s="56" t="s">
        <v>20</v>
      </c>
      <c r="D173" s="56"/>
      <c r="E173" s="56" t="s">
        <v>25</v>
      </c>
      <c r="F173" s="97"/>
      <c r="G173" s="21" t="s">
        <v>22</v>
      </c>
      <c r="H173" s="114" t="n">
        <v>3</v>
      </c>
      <c r="I173" s="61" t="n">
        <v>2</v>
      </c>
      <c r="J173" s="61" t="n">
        <v>2</v>
      </c>
      <c r="K173" s="62" t="n">
        <f aca="false">L173+M173</f>
        <v>0</v>
      </c>
      <c r="L173" s="62"/>
      <c r="M173" s="62"/>
      <c r="N173" s="61" t="n">
        <v>2</v>
      </c>
      <c r="O173" s="62" t="n">
        <f aca="false">P173+Q173</f>
        <v>0</v>
      </c>
      <c r="P173" s="62"/>
      <c r="Q173" s="63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26"/>
      <c r="G174" s="27" t="s">
        <v>26</v>
      </c>
      <c r="H174" s="117" t="n">
        <v>4</v>
      </c>
      <c r="I174" s="58"/>
      <c r="J174" s="58"/>
      <c r="K174" s="59" t="n">
        <f aca="false">L174+M174</f>
        <v>0</v>
      </c>
      <c r="L174" s="59"/>
      <c r="M174" s="59"/>
      <c r="N174" s="58" t="n">
        <v>4</v>
      </c>
      <c r="O174" s="59" t="n">
        <f aca="false">P174+Q174</f>
        <v>0</v>
      </c>
      <c r="P174" s="59"/>
      <c r="Q174" s="98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" hidden="false" customHeight="true" outlineLevel="0" collapsed="false">
      <c r="A175" s="17"/>
      <c r="B175" s="18" t="s">
        <v>148</v>
      </c>
      <c r="C175" s="19" t="s">
        <v>20</v>
      </c>
      <c r="D175" s="19"/>
      <c r="E175" s="19" t="s">
        <v>21</v>
      </c>
      <c r="F175" s="22"/>
      <c r="G175" s="21" t="s">
        <v>22</v>
      </c>
      <c r="H175" s="114" t="n">
        <v>1</v>
      </c>
      <c r="I175" s="67"/>
      <c r="J175" s="67"/>
      <c r="K175" s="68" t="n">
        <f aca="false">L175+M175</f>
        <v>0</v>
      </c>
      <c r="L175" s="68"/>
      <c r="M175" s="68"/>
      <c r="N175" s="67"/>
      <c r="O175" s="68" t="n">
        <f aca="false">P175+Q175</f>
        <v>0</v>
      </c>
      <c r="P175" s="68"/>
      <c r="Q175" s="69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/>
      <c r="C176" s="18"/>
      <c r="D176" s="18"/>
      <c r="E176" s="18"/>
      <c r="F176" s="26"/>
      <c r="G176" s="27" t="s">
        <v>23</v>
      </c>
      <c r="H176" s="117" t="n">
        <v>1</v>
      </c>
      <c r="I176" s="58"/>
      <c r="J176" s="58"/>
      <c r="K176" s="59" t="n">
        <f aca="false">L176+M176</f>
        <v>0</v>
      </c>
      <c r="L176" s="59"/>
      <c r="M176" s="59"/>
      <c r="N176" s="58"/>
      <c r="O176" s="59" t="n">
        <f aca="false">P176+Q176</f>
        <v>0</v>
      </c>
      <c r="P176" s="59"/>
      <c r="Q176" s="60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99"/>
      <c r="B177" s="100" t="s">
        <v>149</v>
      </c>
      <c r="C177" s="100"/>
      <c r="D177" s="100"/>
      <c r="E177" s="100"/>
      <c r="F177" s="100"/>
      <c r="G177" s="100"/>
      <c r="H177" s="100" t="n">
        <f aca="false">SUM(H9:H176)</f>
        <v>353</v>
      </c>
      <c r="I177" s="100" t="n">
        <f aca="false">SUM(I9:I176)</f>
        <v>134</v>
      </c>
      <c r="J177" s="100" t="n">
        <f aca="false">SUM(J9:J176)</f>
        <v>139</v>
      </c>
      <c r="K177" s="101" t="n">
        <f aca="false">SUM(K9:K176)</f>
        <v>0</v>
      </c>
      <c r="L177" s="101" t="n">
        <f aca="false">SUM(L9:L176)</f>
        <v>0</v>
      </c>
      <c r="M177" s="102" t="n">
        <f aca="false">SUM(M9:M176)</f>
        <v>0</v>
      </c>
      <c r="N177" s="100" t="n">
        <f aca="false">SUM(N9:N176)</f>
        <v>265</v>
      </c>
      <c r="O177" s="102" t="n">
        <f aca="false">SUM(O9:O176)</f>
        <v>0</v>
      </c>
      <c r="P177" s="102" t="n">
        <f aca="false">SUM(P9:P176)</f>
        <v>0</v>
      </c>
      <c r="Q177" s="102" t="n">
        <f aca="false">SUM(Q9:Q176)</f>
        <v>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" hidden="false" customHeight="false" outlineLevel="0" collapsed="false">
      <c r="A178" s="2"/>
      <c r="B178" s="2"/>
      <c r="C178" s="2"/>
      <c r="D178" s="2"/>
      <c r="E178" s="2"/>
      <c r="F178" s="2"/>
      <c r="G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" hidden="false" customHeight="true" outlineLevel="0" collapsed="false">
      <c r="A181" s="2"/>
      <c r="B181" s="2"/>
      <c r="C181" s="2"/>
      <c r="D181" s="2"/>
      <c r="E181" s="2"/>
      <c r="F181" s="103"/>
      <c r="G181" s="104" t="s">
        <v>5</v>
      </c>
      <c r="H181" s="104"/>
      <c r="I181" s="104"/>
      <c r="J181" s="104"/>
      <c r="K181" s="104"/>
      <c r="L181" s="104"/>
      <c r="M181" s="104" t="s">
        <v>6</v>
      </c>
      <c r="N181" s="104"/>
      <c r="O181" s="104"/>
      <c r="P181" s="104"/>
      <c r="Q181" s="105" t="s">
        <v>150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false" outlineLevel="0" collapsed="false">
      <c r="A182" s="2"/>
      <c r="B182" s="2"/>
      <c r="C182" s="2"/>
      <c r="D182" s="2"/>
      <c r="E182" s="2"/>
      <c r="F182" s="103"/>
      <c r="G182" s="106" t="s">
        <v>13</v>
      </c>
      <c r="H182" s="106" t="s">
        <v>14</v>
      </c>
      <c r="I182" s="106" t="s">
        <v>15</v>
      </c>
      <c r="J182" s="106" t="s">
        <v>16</v>
      </c>
      <c r="K182" s="106" t="s">
        <v>17</v>
      </c>
      <c r="L182" s="106" t="s">
        <v>18</v>
      </c>
      <c r="M182" s="106" t="s">
        <v>15</v>
      </c>
      <c r="N182" s="106" t="s">
        <v>16</v>
      </c>
      <c r="O182" s="106" t="s">
        <v>17</v>
      </c>
      <c r="P182" s="106" t="s">
        <v>18</v>
      </c>
      <c r="Q182" s="105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" hidden="false" customHeight="false" outlineLevel="0" collapsed="false">
      <c r="A183" s="2"/>
      <c r="B183" s="2"/>
      <c r="C183" s="2"/>
      <c r="D183" s="2"/>
      <c r="E183" s="2"/>
      <c r="F183" s="107" t="s">
        <v>22</v>
      </c>
      <c r="G183" s="108" t="n">
        <f aca="false">SUMIF($G$9:$G$176,$F$183,H9:H176)</f>
        <v>233</v>
      </c>
      <c r="H183" s="108" t="n">
        <f aca="false">SUMIF($G$9:$G$176,$F$183,I9:I176)</f>
        <v>104</v>
      </c>
      <c r="I183" s="108" t="n">
        <f aca="false">SUMIF($G$9:$G$176,$F$183,J9:J176)</f>
        <v>109</v>
      </c>
      <c r="J183" s="109" t="n">
        <f aca="false">SUMIF($G$9:$G$176,$F$183,K9:K176)</f>
        <v>0</v>
      </c>
      <c r="K183" s="109" t="n">
        <f aca="false">SUMIF($G$9:$G$176,$F$183,L9:L176)</f>
        <v>0</v>
      </c>
      <c r="L183" s="109" t="n">
        <f aca="false">SUMIF($G$9:$G$176,$F$183,M9:M176)</f>
        <v>0</v>
      </c>
      <c r="M183" s="108" t="n">
        <f aca="false">SUMIF($G$9:$G$176,$F$183,N9:N176)</f>
        <v>192</v>
      </c>
      <c r="N183" s="109" t="n">
        <f aca="false">SUMIF($G$9:$G$176,$F$183,O9:O176)</f>
        <v>0</v>
      </c>
      <c r="O183" s="109" t="n">
        <f aca="false">SUMIF($G$9:$G$176,$F$183,P9:P176)</f>
        <v>0</v>
      </c>
      <c r="P183" s="109" t="n">
        <f aca="false">SUMIF($G$9:$G$176,$F$183,Q9:Q176)</f>
        <v>0</v>
      </c>
      <c r="Q183" s="110" t="n">
        <f aca="false">O183+K183</f>
        <v>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false" outlineLevel="0" collapsed="false">
      <c r="A184" s="2"/>
      <c r="B184" s="2"/>
      <c r="C184" s="2"/>
      <c r="D184" s="2"/>
      <c r="E184" s="2"/>
      <c r="F184" s="107" t="s">
        <v>26</v>
      </c>
      <c r="G184" s="108" t="n">
        <f aca="false">SUMIF($G$9:$G$176,$F$184,H9:H176)</f>
        <v>78</v>
      </c>
      <c r="H184" s="108" t="n">
        <f aca="false">SUMIF($G$9:$G$176,$F$184,I9:I176)</f>
        <v>2</v>
      </c>
      <c r="I184" s="108" t="n">
        <f aca="false">SUMIF($G$9:$G$176,$F$184,J9:J176)</f>
        <v>2</v>
      </c>
      <c r="J184" s="109" t="n">
        <f aca="false">SUMIF($G$9:$G$176,$F$184,K9:K176)</f>
        <v>0</v>
      </c>
      <c r="K184" s="109" t="n">
        <f aca="false">SUMIF($G$9:$G$176,$F$184,L9:L176)</f>
        <v>0</v>
      </c>
      <c r="L184" s="109" t="n">
        <f aca="false">SUMIF($G$9:$G$176,$F$184,M9:M176)</f>
        <v>0</v>
      </c>
      <c r="M184" s="108" t="n">
        <f aca="false">SUMIF($G$9:$G$176,$F$184,N9:N176)</f>
        <v>66</v>
      </c>
      <c r="N184" s="109" t="n">
        <f aca="false">SUMIF($G$9:$G$176,$F$184,O9:O176)</f>
        <v>0</v>
      </c>
      <c r="O184" s="109" t="n">
        <f aca="false">SUMIF($G$9:$G$176,$F$184,P9:P176)</f>
        <v>0</v>
      </c>
      <c r="P184" s="109" t="n">
        <f aca="false">SUMIF($G$9:$G$176,$F$184,Q9:Q176)</f>
        <v>0</v>
      </c>
      <c r="Q184" s="110" t="n">
        <f aca="false">O184+K184</f>
        <v>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" hidden="false" customHeight="false" outlineLevel="0" collapsed="false">
      <c r="A185" s="2"/>
      <c r="B185" s="2"/>
      <c r="C185" s="2"/>
      <c r="D185" s="2"/>
      <c r="E185" s="2"/>
      <c r="F185" s="107" t="s">
        <v>23</v>
      </c>
      <c r="G185" s="108" t="n">
        <f aca="false">SUMIF($G$9:$G$176,$F$185,H9:H176)</f>
        <v>42</v>
      </c>
      <c r="H185" s="108" t="n">
        <f aca="false">SUMIF($G$9:$G$176,$F$185,I9:I176)</f>
        <v>28</v>
      </c>
      <c r="I185" s="108" t="n">
        <f aca="false">SUMIF($G$9:$G$176,$F$185,J9:J176)</f>
        <v>28</v>
      </c>
      <c r="J185" s="109" t="n">
        <f aca="false">SUMIF($G$9:$G$176,$F$185,K9:K176)</f>
        <v>0</v>
      </c>
      <c r="K185" s="109" t="n">
        <f aca="false">SUMIF($G$9:$G$176,$F$185,L9:L176)</f>
        <v>0</v>
      </c>
      <c r="L185" s="109" t="n">
        <f aca="false">SUMIF($G$9:$G$176,$F$185,M9:M176)</f>
        <v>0</v>
      </c>
      <c r="M185" s="108" t="n">
        <f aca="false">SUMIF($G$9:$G$176,$F$185,N9:N176)</f>
        <v>7</v>
      </c>
      <c r="N185" s="109" t="n">
        <f aca="false">SUMIF($G$9:$G$176,$F$185,O9:O176)</f>
        <v>0</v>
      </c>
      <c r="O185" s="109" t="n">
        <f aca="false">SUMIF($G$9:$G$176,$F$185,P9:P176)</f>
        <v>0</v>
      </c>
      <c r="P185" s="109" t="n">
        <f aca="false">SUMIF($G$9:$G$176,$F$185,Q9:Q176)</f>
        <v>0</v>
      </c>
      <c r="Q185" s="110" t="n">
        <f aca="false">O185+K185</f>
        <v>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1" t="n">
        <f aca="false">Q185+Q184+Q183</f>
        <v>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" hidden="false" customHeight="false" outlineLevel="0" collapsed="false">
      <c r="A189" s="2"/>
      <c r="B189" s="2"/>
      <c r="C189" s="2"/>
      <c r="D189" s="2"/>
      <c r="E189" s="2"/>
      <c r="F189" s="2"/>
      <c r="G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</sheetData>
  <mergeCells count="42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3"/>
    <mergeCell ref="B71:B73"/>
    <mergeCell ref="C71:C73"/>
    <mergeCell ref="D71:D73"/>
    <mergeCell ref="E71:E73"/>
    <mergeCell ref="A74:A75"/>
    <mergeCell ref="B74:B75"/>
    <mergeCell ref="C74:C75"/>
    <mergeCell ref="D74:D75"/>
    <mergeCell ref="E74:E75"/>
    <mergeCell ref="A76:A77"/>
    <mergeCell ref="B76:B77"/>
    <mergeCell ref="C76:C77"/>
    <mergeCell ref="D76:D77"/>
    <mergeCell ref="E76:E77"/>
    <mergeCell ref="A78:A79"/>
    <mergeCell ref="B78:B79"/>
    <mergeCell ref="C78:C79"/>
    <mergeCell ref="D78:D79"/>
    <mergeCell ref="E78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2"/>
    <mergeCell ref="B90:B92"/>
    <mergeCell ref="C90:C92"/>
    <mergeCell ref="D90:D92"/>
    <mergeCell ref="E90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F181:F182"/>
    <mergeCell ref="G181:L181"/>
    <mergeCell ref="M181:P181"/>
    <mergeCell ref="Q181:Q182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8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24236.65</v>
      </c>
      <c r="S9" s="190" t="n">
        <v>4650.84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22</v>
      </c>
      <c r="I11" s="160" t="n">
        <v>17</v>
      </c>
      <c r="J11" s="160" t="n">
        <v>29</v>
      </c>
      <c r="K11" s="161" t="n">
        <v>58793.86</v>
      </c>
      <c r="L11" s="161" t="n">
        <f aca="false">M11+N11</f>
        <v>58793.86</v>
      </c>
      <c r="M11" s="161" t="n">
        <v>28456.91</v>
      </c>
      <c r="N11" s="239" t="n">
        <v>30336.95</v>
      </c>
      <c r="O11" s="151" t="n">
        <v>9</v>
      </c>
      <c r="P11" s="149" t="n">
        <v>39893.36</v>
      </c>
      <c r="Q11" s="149" t="n">
        <f aca="false">R11+S11</f>
        <v>39893.36</v>
      </c>
      <c r="R11" s="149" t="n">
        <v>30607.11</v>
      </c>
      <c r="S11" s="150" t="n">
        <v>9286.25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4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33</v>
      </c>
      <c r="K13" s="149" t="n">
        <v>46182.72</v>
      </c>
      <c r="L13" s="149" t="n">
        <f aca="false">M13+N13</f>
        <v>38950.58</v>
      </c>
      <c r="M13" s="149" t="n">
        <v>38950.58</v>
      </c>
      <c r="N13" s="249"/>
      <c r="O13" s="228" t="n">
        <v>5</v>
      </c>
      <c r="P13" s="161" t="n">
        <v>14423.5</v>
      </c>
      <c r="Q13" s="161" t="n">
        <f aca="false">R13+S13</f>
        <v>14423.5</v>
      </c>
      <c r="R13" s="161" t="n">
        <v>14423.5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7576.6</v>
      </c>
      <c r="M14" s="155" t="n">
        <f aca="false">1938.2+5638.4</f>
        <v>7576.6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7224.2</v>
      </c>
      <c r="R15" s="149" t="n">
        <v>0</v>
      </c>
      <c r="S15" s="198" t="n">
        <v>7224.2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19515.9</v>
      </c>
      <c r="Q16" s="166" t="n">
        <f aca="false">R16+S16</f>
        <v>15858</v>
      </c>
      <c r="R16" s="166" t="n">
        <f aca="false">10924.4+4933.6</f>
        <v>15858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6</v>
      </c>
      <c r="I19" s="160" t="n">
        <v>1</v>
      </c>
      <c r="J19" s="160" t="n">
        <v>1</v>
      </c>
      <c r="K19" s="161" t="n">
        <v>528.6</v>
      </c>
      <c r="L19" s="161" t="n">
        <f aca="false">M19+N19</f>
        <v>0</v>
      </c>
      <c r="M19" s="161"/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5</v>
      </c>
      <c r="I20" s="154" t="n">
        <v>2</v>
      </c>
      <c r="J20" s="154" t="n">
        <v>2</v>
      </c>
      <c r="K20" s="155" t="n">
        <v>1389.4</v>
      </c>
      <c r="L20" s="155" t="n">
        <f aca="false">M20+N20</f>
        <v>704.8</v>
      </c>
      <c r="M20" s="155" t="n">
        <f aca="false">704.8</f>
        <v>704.8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20</v>
      </c>
      <c r="I21" s="160" t="n">
        <v>13</v>
      </c>
      <c r="J21" s="160" t="n">
        <v>15</v>
      </c>
      <c r="K21" s="161" t="n">
        <v>19909.8</v>
      </c>
      <c r="L21" s="161" t="n">
        <f aca="false">M21+N21</f>
        <v>14830.79</v>
      </c>
      <c r="M21" s="161" t="n">
        <v>4012.08</v>
      </c>
      <c r="N21" s="190" t="n">
        <v>10818.71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17766.28</v>
      </c>
      <c r="S21" s="190" t="n">
        <v>25813.94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1</v>
      </c>
      <c r="J22" s="154" t="n">
        <v>1</v>
      </c>
      <c r="K22" s="155" t="n">
        <v>1762</v>
      </c>
      <c r="L22" s="155" t="n">
        <f aca="false">M22+N22</f>
        <v>0</v>
      </c>
      <c r="M22" s="155"/>
      <c r="N22" s="156"/>
      <c r="O22" s="157" t="n">
        <v>3</v>
      </c>
      <c r="P22" s="155"/>
      <c r="Q22" s="155" t="n">
        <f aca="false">R22+S22</f>
        <v>0</v>
      </c>
      <c r="R22" s="155"/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27</v>
      </c>
      <c r="I23" s="160" t="n">
        <v>18</v>
      </c>
      <c r="J23" s="160" t="n">
        <v>31</v>
      </c>
      <c r="K23" s="161" t="n">
        <v>43470.01</v>
      </c>
      <c r="L23" s="161" t="n">
        <f aca="false">M23+N23</f>
        <v>36599.36</v>
      </c>
      <c r="M23" s="161" t="n">
        <v>28289.78</v>
      </c>
      <c r="N23" s="190" t="n">
        <v>8309.58</v>
      </c>
      <c r="O23" s="151" t="n">
        <v>22</v>
      </c>
      <c r="P23" s="149" t="n">
        <v>47120.13</v>
      </c>
      <c r="Q23" s="149" t="n">
        <f aca="false">R23+S23</f>
        <v>47120.13</v>
      </c>
      <c r="R23" s="149" t="n">
        <v>29366.23</v>
      </c>
      <c r="S23" s="198" t="n">
        <v>17753.9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23</v>
      </c>
      <c r="I25" s="148" t="n">
        <v>18</v>
      </c>
      <c r="J25" s="148" t="n">
        <v>18</v>
      </c>
      <c r="K25" s="148" t="n">
        <v>7179.02</v>
      </c>
      <c r="L25" s="149" t="n">
        <f aca="false">M25+N25</f>
        <v>4140.7</v>
      </c>
      <c r="M25" s="149" t="n">
        <v>4140.7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4</v>
      </c>
      <c r="J26" s="154" t="n">
        <v>4</v>
      </c>
      <c r="K26" s="155" t="n">
        <v>6932.6</v>
      </c>
      <c r="L26" s="155" t="n">
        <f aca="false">M26+N26</f>
        <v>0</v>
      </c>
      <c r="M26" s="155"/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24</v>
      </c>
      <c r="I27" s="160" t="n">
        <v>23</v>
      </c>
      <c r="J27" s="160" t="n">
        <v>34</v>
      </c>
      <c r="K27" s="161" t="n">
        <v>61334.34</v>
      </c>
      <c r="L27" s="161" t="n">
        <f aca="false">M27+N27</f>
        <v>43954.53</v>
      </c>
      <c r="M27" s="161" t="n">
        <v>34121.16</v>
      </c>
      <c r="N27" s="190" t="n">
        <v>9833.37</v>
      </c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6</v>
      </c>
      <c r="I28" s="165" t="n">
        <v>3</v>
      </c>
      <c r="J28" s="165" t="n">
        <v>3</v>
      </c>
      <c r="K28" s="166" t="n">
        <v>2114.4</v>
      </c>
      <c r="L28" s="166" t="n">
        <f aca="false">M28+N28</f>
        <v>1409.6</v>
      </c>
      <c r="M28" s="166" t="n">
        <f aca="false">1409.6</f>
        <v>1409.6</v>
      </c>
      <c r="N28" s="156"/>
      <c r="O28" s="157" t="n">
        <v>12</v>
      </c>
      <c r="P28" s="155" t="n">
        <v>28368.2</v>
      </c>
      <c r="Q28" s="155" t="n">
        <f aca="false">R28+S28</f>
        <v>28368.2</v>
      </c>
      <c r="R28" s="155" t="n">
        <f aca="false">2995.4+14272.2+11100.6</f>
        <v>28368.2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/>
      <c r="N29" s="190" t="n">
        <v>1550.56</v>
      </c>
      <c r="O29" s="151" t="n">
        <v>4</v>
      </c>
      <c r="P29" s="149" t="n">
        <v>14655.02</v>
      </c>
      <c r="Q29" s="149" t="n">
        <f aca="false">R29+S29</f>
        <v>14655.02</v>
      </c>
      <c r="R29" s="149" t="n">
        <v>6373.62</v>
      </c>
      <c r="S29" s="198" t="n">
        <v>8281.4</v>
      </c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19381.4</v>
      </c>
      <c r="Q30" s="166" t="n">
        <f aca="false">R30+S30</f>
        <v>17267.7</v>
      </c>
      <c r="R30" s="166" t="n">
        <f aca="false">5286+2290.6-23.95+9715.05</f>
        <v>17267.7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/>
      <c r="N33" s="190" t="n">
        <v>4864.84</v>
      </c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1</v>
      </c>
      <c r="J34" s="165" t="n">
        <v>1</v>
      </c>
      <c r="K34" s="166" t="n">
        <v>2114.4</v>
      </c>
      <c r="L34" s="166" t="n">
        <v>2114.4</v>
      </c>
      <c r="M34" s="166" t="n">
        <v>2114.4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1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14</v>
      </c>
      <c r="I37" s="160" t="n">
        <v>10</v>
      </c>
      <c r="J37" s="160" t="n">
        <v>11</v>
      </c>
      <c r="K37" s="161" t="n">
        <v>20211.1</v>
      </c>
      <c r="L37" s="161" t="n">
        <f aca="false">M37+N37</f>
        <v>16153.14</v>
      </c>
      <c r="M37" s="161" t="n">
        <v>881</v>
      </c>
      <c r="N37" s="190" t="n">
        <v>15272.14</v>
      </c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7</v>
      </c>
      <c r="I38" s="154" t="n">
        <v>5</v>
      </c>
      <c r="J38" s="154" t="n">
        <v>5</v>
      </c>
      <c r="K38" s="155" t="n">
        <v>9472.9</v>
      </c>
      <c r="L38" s="155" t="n">
        <f aca="false">M38+N38</f>
        <v>5109.8</v>
      </c>
      <c r="M38" s="155" t="n">
        <f aca="false">704.8+4405</f>
        <v>5109.8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14</v>
      </c>
      <c r="J41" s="160" t="n">
        <v>17</v>
      </c>
      <c r="K41" s="161" t="n">
        <v>31424.53</v>
      </c>
      <c r="L41" s="161" t="n">
        <f aca="false">M41+N41</f>
        <v>18145.63</v>
      </c>
      <c r="M41" s="161" t="n">
        <v>9138.09</v>
      </c>
      <c r="N41" s="190" t="n">
        <v>9007.54</v>
      </c>
      <c r="O41" s="151" t="n">
        <v>10</v>
      </c>
      <c r="P41" s="149" t="n">
        <v>39637.95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14</v>
      </c>
      <c r="I43" s="160" t="n">
        <v>11</v>
      </c>
      <c r="J43" s="160" t="n">
        <v>15</v>
      </c>
      <c r="K43" s="161" t="n">
        <v>36053.18</v>
      </c>
      <c r="L43" s="161" t="n">
        <f aca="false">M43+N43</f>
        <v>27872.38</v>
      </c>
      <c r="M43" s="161" t="n">
        <v>24384.94</v>
      </c>
      <c r="N43" s="190" t="n">
        <v>3487.44</v>
      </c>
      <c r="O43" s="151" t="n">
        <v>16</v>
      </c>
      <c r="P43" s="149" t="n">
        <v>56737.45</v>
      </c>
      <c r="Q43" s="149" t="n">
        <f aca="false">R43+S43</f>
        <v>55419.47</v>
      </c>
      <c r="R43" s="149" t="n">
        <v>54101.49</v>
      </c>
      <c r="S43" s="198" t="n">
        <v>1317.98</v>
      </c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6</v>
      </c>
      <c r="J45" s="148" t="n">
        <v>6</v>
      </c>
      <c r="K45" s="149" t="n">
        <v>3730.57</v>
      </c>
      <c r="L45" s="149" t="n">
        <f aca="false">M45+N45</f>
        <v>2119.69</v>
      </c>
      <c r="M45" s="149" t="n">
        <v>2119.69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3</v>
      </c>
      <c r="P46" s="166" t="n">
        <v>13945.3</v>
      </c>
      <c r="Q46" s="166" t="n">
        <f aca="false">R46+S46</f>
        <v>10849.9</v>
      </c>
      <c r="R46" s="166" t="n">
        <f aca="false">10849.9</f>
        <v>10849.9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3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f aca="false">1233.4</f>
        <v>1233.4</v>
      </c>
      <c r="N48" s="156"/>
      <c r="O48" s="157" t="n">
        <v>4</v>
      </c>
      <c r="P48" s="155" t="n">
        <v>13567.4</v>
      </c>
      <c r="Q48" s="155" t="n">
        <f aca="false">R48+S48</f>
        <v>13567.4</v>
      </c>
      <c r="R48" s="155" t="n">
        <f aca="false">528.6+11453+1585.8</f>
        <v>13567.4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 t="n">
        <v>5976.7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52</v>
      </c>
      <c r="I53" s="148" t="n">
        <v>47</v>
      </c>
      <c r="J53" s="148" t="n">
        <v>47</v>
      </c>
      <c r="K53" s="149" t="n">
        <v>44606.51</v>
      </c>
      <c r="L53" s="149" t="n">
        <f aca="false">M53+N53</f>
        <v>39470.47</v>
      </c>
      <c r="M53" s="149" t="n">
        <v>34720.47</v>
      </c>
      <c r="N53" s="190" t="n">
        <v>4750</v>
      </c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5</v>
      </c>
      <c r="I54" s="154" t="n">
        <v>3</v>
      </c>
      <c r="J54" s="154" t="n">
        <v>3</v>
      </c>
      <c r="K54" s="155" t="n">
        <v>15858</v>
      </c>
      <c r="L54" s="155" t="n">
        <f aca="false">M54+N54</f>
        <v>1409.6</v>
      </c>
      <c r="M54" s="155" t="n">
        <f aca="false">1409.6</f>
        <v>1409.6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24</v>
      </c>
      <c r="I55" s="160" t="n">
        <v>19</v>
      </c>
      <c r="J55" s="160" t="n">
        <v>25</v>
      </c>
      <c r="K55" s="161" t="n">
        <v>49769.75</v>
      </c>
      <c r="L55" s="161" t="n">
        <f aca="false">M55+N55</f>
        <v>28323.14</v>
      </c>
      <c r="M55" s="161" t="n">
        <v>19287.25</v>
      </c>
      <c r="N55" s="190" t="n">
        <v>9035.89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47845.54</v>
      </c>
      <c r="S55" s="198" t="n">
        <v>27796.17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5</v>
      </c>
      <c r="I57" s="160" t="n">
        <v>2</v>
      </c>
      <c r="J57" s="160" t="n">
        <v>2</v>
      </c>
      <c r="K57" s="161" t="n">
        <v>2563.71</v>
      </c>
      <c r="L57" s="161" t="n">
        <f aca="false">M57+N57</f>
        <v>0</v>
      </c>
      <c r="M57" s="161"/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1" t="n">
        <v>4</v>
      </c>
      <c r="I58" s="165" t="n">
        <v>1</v>
      </c>
      <c r="J58" s="165" t="n">
        <v>1</v>
      </c>
      <c r="K58" s="166" t="n">
        <v>1057.2</v>
      </c>
      <c r="L58" s="161" t="n">
        <f aca="false">M58+N58</f>
        <v>1057.2</v>
      </c>
      <c r="M58" s="166" t="n">
        <f aca="false">1057.2</f>
        <v>1057.2</v>
      </c>
      <c r="N58" s="156"/>
      <c r="O58" s="168" t="n">
        <v>8</v>
      </c>
      <c r="P58" s="166" t="n">
        <v>18120.69</v>
      </c>
      <c r="Q58" s="161" t="n">
        <f aca="false">R58+S58</f>
        <v>18120.69</v>
      </c>
      <c r="R58" s="166" t="n">
        <f aca="false">1409.6+3672.29+13038.8</f>
        <v>18120.69</v>
      </c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56</v>
      </c>
      <c r="C59" s="19" t="s">
        <v>33</v>
      </c>
      <c r="D59" s="19" t="s">
        <v>57</v>
      </c>
      <c r="E59" s="19" t="s">
        <v>25</v>
      </c>
      <c r="F59" s="20"/>
      <c r="G59" s="146" t="s">
        <v>22</v>
      </c>
      <c r="H59" s="159" t="n">
        <v>7</v>
      </c>
      <c r="I59" s="148"/>
      <c r="J59" s="148"/>
      <c r="K59" s="149"/>
      <c r="L59" s="149" t="n">
        <f aca="false">M59+N59</f>
        <v>0</v>
      </c>
      <c r="M59" s="149"/>
      <c r="N59" s="190"/>
      <c r="O59" s="151" t="n">
        <v>11</v>
      </c>
      <c r="P59" s="149" t="n">
        <v>43131.21</v>
      </c>
      <c r="Q59" s="149" t="n">
        <f aca="false">R59+S59</f>
        <v>43131.21</v>
      </c>
      <c r="R59" s="149" t="n">
        <v>43131.21</v>
      </c>
      <c r="S59" s="19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42"/>
      <c r="G60" s="164" t="s">
        <v>26</v>
      </c>
      <c r="H60" s="175" t="n">
        <v>6</v>
      </c>
      <c r="I60" s="165" t="n">
        <v>2</v>
      </c>
      <c r="J60" s="165" t="n">
        <v>2</v>
      </c>
      <c r="K60" s="166" t="n">
        <v>2209.2</v>
      </c>
      <c r="L60" s="166" t="n">
        <f aca="false">M60+N60</f>
        <v>0</v>
      </c>
      <c r="M60" s="166"/>
      <c r="N60" s="156"/>
      <c r="O60" s="168" t="n">
        <v>5</v>
      </c>
      <c r="P60" s="166" t="n">
        <v>4249</v>
      </c>
      <c r="Q60" s="166" t="n">
        <f aca="false">R60+S60</f>
        <v>4249</v>
      </c>
      <c r="R60" s="166" t="n">
        <f aca="false">4249</f>
        <v>4249</v>
      </c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266</v>
      </c>
      <c r="C61" s="19" t="s">
        <v>20</v>
      </c>
      <c r="D61" s="19"/>
      <c r="E61" s="19" t="s">
        <v>267</v>
      </c>
      <c r="F61" s="20"/>
      <c r="G61" s="146" t="s">
        <v>22</v>
      </c>
      <c r="H61" s="173" t="n">
        <v>3</v>
      </c>
      <c r="I61" s="148" t="n">
        <v>1</v>
      </c>
      <c r="J61" s="148" t="n">
        <v>1</v>
      </c>
      <c r="K61" s="149" t="n">
        <v>528.6</v>
      </c>
      <c r="L61" s="149" t="n">
        <f aca="false">M61+N61</f>
        <v>0</v>
      </c>
      <c r="M61" s="149"/>
      <c r="N61" s="190"/>
      <c r="O61" s="206"/>
      <c r="P61" s="149"/>
      <c r="Q61" s="149" t="n">
        <f aca="false">R61+S61</f>
        <v>0</v>
      </c>
      <c r="R61" s="149"/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" hidden="false" customHeight="false" outlineLevel="0" collapsed="false">
      <c r="A62" s="17"/>
      <c r="B62" s="18"/>
      <c r="C62" s="18"/>
      <c r="D62" s="18"/>
      <c r="E62" s="18"/>
      <c r="F62" s="26" t="s">
        <v>268</v>
      </c>
      <c r="G62" s="152" t="s">
        <v>26</v>
      </c>
      <c r="H62" s="174" t="n">
        <v>6</v>
      </c>
      <c r="I62" s="154" t="n">
        <v>3</v>
      </c>
      <c r="J62" s="154" t="n">
        <v>3</v>
      </c>
      <c r="K62" s="155" t="n">
        <v>5286</v>
      </c>
      <c r="L62" s="155" t="n">
        <f aca="false">M62+N62</f>
        <v>5286</v>
      </c>
      <c r="M62" s="155" t="n">
        <f aca="false">5286</f>
        <v>5286</v>
      </c>
      <c r="N62" s="156"/>
      <c r="O62" s="209"/>
      <c r="P62" s="155"/>
      <c r="Q62" s="155" t="n">
        <f aca="false">R62+S62</f>
        <v>0</v>
      </c>
      <c r="R62" s="155"/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54"/>
      <c r="B63" s="55" t="s">
        <v>155</v>
      </c>
      <c r="C63" s="56"/>
      <c r="D63" s="56"/>
      <c r="E63" s="56"/>
      <c r="F63" s="36"/>
      <c r="G63" s="158" t="s">
        <v>22</v>
      </c>
      <c r="H63" s="159" t="n">
        <v>14</v>
      </c>
      <c r="I63" s="160" t="n">
        <v>13</v>
      </c>
      <c r="J63" s="160" t="n">
        <v>16</v>
      </c>
      <c r="K63" s="161" t="n">
        <v>31832.71</v>
      </c>
      <c r="L63" s="161" t="n">
        <f aca="false">M63+N63</f>
        <v>13482.82</v>
      </c>
      <c r="M63" s="161" t="n">
        <v>13482.82</v>
      </c>
      <c r="N63" s="190"/>
      <c r="O63" s="163"/>
      <c r="P63" s="161"/>
      <c r="Q63" s="161" t="n">
        <f aca="false">R63+S63</f>
        <v>0</v>
      </c>
      <c r="R63" s="161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54"/>
      <c r="B64" s="55"/>
      <c r="C64" s="55"/>
      <c r="D64" s="55"/>
      <c r="E64" s="55"/>
      <c r="F64" s="71"/>
      <c r="G64" s="164" t="s">
        <v>26</v>
      </c>
      <c r="H64" s="177"/>
      <c r="I64" s="165"/>
      <c r="J64" s="165"/>
      <c r="K64" s="166"/>
      <c r="L64" s="166" t="n">
        <f aca="false">M64+N64</f>
        <v>0</v>
      </c>
      <c r="M64" s="166"/>
      <c r="N64" s="156"/>
      <c r="O64" s="168"/>
      <c r="P64" s="166"/>
      <c r="Q64" s="166" t="n">
        <f aca="false">R64+S64</f>
        <v>0</v>
      </c>
      <c r="R64" s="166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17"/>
      <c r="B65" s="18" t="s">
        <v>221</v>
      </c>
      <c r="C65" s="19" t="s">
        <v>20</v>
      </c>
      <c r="D65" s="19"/>
      <c r="E65" s="19" t="s">
        <v>278</v>
      </c>
      <c r="F65" s="20"/>
      <c r="G65" s="146" t="s">
        <v>22</v>
      </c>
      <c r="H65" s="173" t="n">
        <v>11</v>
      </c>
      <c r="I65" s="148" t="n">
        <v>2</v>
      </c>
      <c r="J65" s="148" t="n">
        <v>2</v>
      </c>
      <c r="K65" s="149" t="n">
        <v>5127.42</v>
      </c>
      <c r="L65" s="149" t="n">
        <f aca="false">M65+N65</f>
        <v>3717.82</v>
      </c>
      <c r="M65" s="149" t="n">
        <v>3717.82</v>
      </c>
      <c r="N65" s="190"/>
      <c r="O65" s="151"/>
      <c r="P65" s="149"/>
      <c r="Q65" s="149" t="n">
        <f aca="false">R65+S65</f>
        <v>0</v>
      </c>
      <c r="R65" s="149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17"/>
      <c r="B66" s="18"/>
      <c r="C66" s="18"/>
      <c r="D66" s="18"/>
      <c r="E66" s="18"/>
      <c r="F66" s="26" t="s">
        <v>233</v>
      </c>
      <c r="G66" s="152" t="s">
        <v>23</v>
      </c>
      <c r="H66" s="174" t="n">
        <v>8</v>
      </c>
      <c r="I66" s="154" t="n">
        <v>5</v>
      </c>
      <c r="J66" s="154" t="n">
        <v>5</v>
      </c>
      <c r="K66" s="155" t="n">
        <v>4052.6</v>
      </c>
      <c r="L66" s="155" t="n">
        <f aca="false">M66+N66</f>
        <v>2114.4</v>
      </c>
      <c r="M66" s="155" t="n">
        <v>2114.4</v>
      </c>
      <c r="N66" s="156"/>
      <c r="O66" s="157"/>
      <c r="P66" s="155"/>
      <c r="Q66" s="155" t="n">
        <f aca="false">R66+S66</f>
        <v>0</v>
      </c>
      <c r="R66" s="155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33"/>
      <c r="B67" s="34" t="s">
        <v>58</v>
      </c>
      <c r="C67" s="35" t="s">
        <v>20</v>
      </c>
      <c r="D67" s="35"/>
      <c r="E67" s="35" t="s">
        <v>52</v>
      </c>
      <c r="F67" s="36"/>
      <c r="G67" s="158" t="s">
        <v>22</v>
      </c>
      <c r="H67" s="159" t="n">
        <v>11</v>
      </c>
      <c r="I67" s="160" t="n">
        <v>7</v>
      </c>
      <c r="J67" s="160" t="n">
        <v>12</v>
      </c>
      <c r="K67" s="161" t="n">
        <v>21739.72</v>
      </c>
      <c r="L67" s="161" t="n">
        <f aca="false">M67+N67</f>
        <v>16500.69</v>
      </c>
      <c r="M67" s="161" t="n">
        <v>16500.69</v>
      </c>
      <c r="N67" s="190"/>
      <c r="O67" s="163" t="n">
        <v>10</v>
      </c>
      <c r="P67" s="161" t="n">
        <v>62059.28</v>
      </c>
      <c r="Q67" s="161" t="n">
        <f aca="false">R67+S67</f>
        <v>62059.28</v>
      </c>
      <c r="R67" s="161" t="n">
        <v>62059.28</v>
      </c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71"/>
      <c r="G68" s="164" t="s">
        <v>26</v>
      </c>
      <c r="H68" s="175"/>
      <c r="I68" s="165"/>
      <c r="J68" s="165"/>
      <c r="K68" s="166"/>
      <c r="L68" s="166" t="n">
        <f aca="false">M68+N68</f>
        <v>0</v>
      </c>
      <c r="M68" s="166"/>
      <c r="N68" s="156"/>
      <c r="O68" s="168"/>
      <c r="P68" s="166"/>
      <c r="Q68" s="166" t="n">
        <f aca="false">R68+S68</f>
        <v>0</v>
      </c>
      <c r="R68" s="166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17"/>
      <c r="B69" s="18" t="s">
        <v>269</v>
      </c>
      <c r="C69" s="19"/>
      <c r="D69" s="49"/>
      <c r="E69" s="19"/>
      <c r="F69" s="22"/>
      <c r="G69" s="146" t="s">
        <v>22</v>
      </c>
      <c r="H69" s="147" t="n">
        <v>14</v>
      </c>
      <c r="I69" s="148" t="n">
        <v>9</v>
      </c>
      <c r="J69" s="148" t="n">
        <v>9</v>
      </c>
      <c r="K69" s="149" t="n">
        <v>20127.9</v>
      </c>
      <c r="L69" s="149" t="n">
        <f aca="false">M69+N69</f>
        <v>14798.19</v>
      </c>
      <c r="M69" s="149"/>
      <c r="N69" s="190" t="n">
        <v>14798.19</v>
      </c>
      <c r="O69" s="206"/>
      <c r="P69" s="149"/>
      <c r="Q69" s="149" t="n">
        <f aca="false">R69+S69</f>
        <v>0</v>
      </c>
      <c r="R69" s="149"/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" hidden="false" customHeight="false" outlineLevel="0" collapsed="false">
      <c r="A70" s="17"/>
      <c r="B70" s="18"/>
      <c r="C70" s="18"/>
      <c r="D70" s="18"/>
      <c r="E70" s="18"/>
      <c r="F70" s="26"/>
      <c r="G70" s="152" t="s">
        <v>26</v>
      </c>
      <c r="H70" s="176"/>
      <c r="I70" s="154"/>
      <c r="J70" s="154"/>
      <c r="K70" s="155"/>
      <c r="L70" s="155" t="n">
        <f aca="false">M70+N70</f>
        <v>0</v>
      </c>
      <c r="M70" s="155"/>
      <c r="N70" s="156"/>
      <c r="O70" s="209"/>
      <c r="P70" s="155"/>
      <c r="Q70" s="155" t="n">
        <f aca="false">R70+S70</f>
        <v>0</v>
      </c>
      <c r="R70" s="155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54"/>
      <c r="B71" s="55" t="s">
        <v>222</v>
      </c>
      <c r="C71" s="56" t="s">
        <v>20</v>
      </c>
      <c r="D71" s="78"/>
      <c r="E71" s="56" t="s">
        <v>279</v>
      </c>
      <c r="F71" s="38"/>
      <c r="G71" s="158" t="s">
        <v>22</v>
      </c>
      <c r="H71" s="169" t="n">
        <v>25</v>
      </c>
      <c r="I71" s="160" t="n">
        <v>20</v>
      </c>
      <c r="J71" s="160" t="n">
        <v>23</v>
      </c>
      <c r="K71" s="161" t="n">
        <v>61221.69</v>
      </c>
      <c r="L71" s="161" t="n">
        <f aca="false">M71+N71</f>
        <v>3383.04</v>
      </c>
      <c r="M71" s="161" t="n">
        <v>3383.04</v>
      </c>
      <c r="N71" s="190"/>
      <c r="O71" s="163"/>
      <c r="P71" s="161"/>
      <c r="Q71" s="161" t="n">
        <f aca="false">R71+S71</f>
        <v>0</v>
      </c>
      <c r="R71" s="161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54"/>
      <c r="B72" s="55"/>
      <c r="C72" s="55"/>
      <c r="D72" s="55"/>
      <c r="E72" s="55"/>
      <c r="F72" s="42" t="s">
        <v>234</v>
      </c>
      <c r="G72" s="164" t="s">
        <v>23</v>
      </c>
      <c r="H72" s="178" t="n">
        <v>5</v>
      </c>
      <c r="I72" s="165" t="n">
        <v>1</v>
      </c>
      <c r="J72" s="165" t="n">
        <v>1</v>
      </c>
      <c r="K72" s="166" t="n">
        <v>1012.55</v>
      </c>
      <c r="L72" s="166" t="n">
        <f aca="false">M72+N72</f>
        <v>0</v>
      </c>
      <c r="M72" s="166"/>
      <c r="N72" s="156"/>
      <c r="O72" s="168"/>
      <c r="P72" s="166"/>
      <c r="Q72" s="166" t="n">
        <f aca="false">R72+S72</f>
        <v>0</v>
      </c>
      <c r="R72" s="166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17"/>
      <c r="B73" s="18" t="s">
        <v>249</v>
      </c>
      <c r="C73" s="19"/>
      <c r="D73" s="49"/>
      <c r="E73" s="19"/>
      <c r="F73" s="22"/>
      <c r="G73" s="146" t="s">
        <v>22</v>
      </c>
      <c r="H73" s="147"/>
      <c r="I73" s="148"/>
      <c r="J73" s="148"/>
      <c r="K73" s="149"/>
      <c r="L73" s="149" t="n">
        <f aca="false">M73+N73</f>
        <v>0</v>
      </c>
      <c r="M73" s="149"/>
      <c r="N73" s="190"/>
      <c r="O73" s="206"/>
      <c r="P73" s="149"/>
      <c r="Q73" s="149" t="n">
        <f aca="false">R73+S73</f>
        <v>0</v>
      </c>
      <c r="R73" s="149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17"/>
      <c r="B74" s="18"/>
      <c r="C74" s="18"/>
      <c r="D74" s="18"/>
      <c r="E74" s="18"/>
      <c r="F74" s="250" t="s">
        <v>250</v>
      </c>
      <c r="G74" s="152" t="s">
        <v>26</v>
      </c>
      <c r="H74" s="176" t="n">
        <v>5</v>
      </c>
      <c r="I74" s="154" t="n">
        <v>1</v>
      </c>
      <c r="J74" s="154" t="n">
        <v>1</v>
      </c>
      <c r="K74" s="155" t="n">
        <v>2577.4</v>
      </c>
      <c r="L74" s="155" t="n">
        <f aca="false">M74+N74</f>
        <v>0</v>
      </c>
      <c r="M74" s="155"/>
      <c r="N74" s="156"/>
      <c r="O74" s="209"/>
      <c r="P74" s="155"/>
      <c r="Q74" s="155" t="n">
        <f aca="false">R74+S74</f>
        <v>0</v>
      </c>
      <c r="R74" s="155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33"/>
      <c r="B75" s="34" t="s">
        <v>59</v>
      </c>
      <c r="C75" s="35" t="s">
        <v>20</v>
      </c>
      <c r="D75" s="95"/>
      <c r="E75" s="35" t="s">
        <v>25</v>
      </c>
      <c r="F75" s="38"/>
      <c r="G75" s="158" t="s">
        <v>22</v>
      </c>
      <c r="H75" s="169"/>
      <c r="I75" s="160"/>
      <c r="J75" s="160"/>
      <c r="K75" s="161"/>
      <c r="L75" s="161" t="n">
        <f aca="false">M75+N75</f>
        <v>0</v>
      </c>
      <c r="M75" s="161"/>
      <c r="N75" s="190"/>
      <c r="O75" s="163"/>
      <c r="P75" s="161"/>
      <c r="Q75" s="161" t="n">
        <f aca="false">R75+S75</f>
        <v>0</v>
      </c>
      <c r="R75" s="161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33"/>
      <c r="B76" s="34"/>
      <c r="C76" s="34"/>
      <c r="D76" s="34"/>
      <c r="E76" s="34"/>
      <c r="F76" s="71"/>
      <c r="G76" s="164" t="s">
        <v>26</v>
      </c>
      <c r="H76" s="153"/>
      <c r="I76" s="165"/>
      <c r="J76" s="165"/>
      <c r="K76" s="166"/>
      <c r="L76" s="166" t="n">
        <f aca="false">M76+N76</f>
        <v>0</v>
      </c>
      <c r="M76" s="166"/>
      <c r="N76" s="156"/>
      <c r="O76" s="168"/>
      <c r="P76" s="166"/>
      <c r="Q76" s="166" t="n">
        <f aca="false">R76+S76</f>
        <v>0</v>
      </c>
      <c r="R76" s="166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17"/>
      <c r="B77" s="18" t="s">
        <v>60</v>
      </c>
      <c r="C77" s="19" t="s">
        <v>20</v>
      </c>
      <c r="D77" s="19"/>
      <c r="E77" s="19" t="s">
        <v>21</v>
      </c>
      <c r="F77" s="22"/>
      <c r="G77" s="146" t="s">
        <v>22</v>
      </c>
      <c r="H77" s="169" t="n">
        <v>5</v>
      </c>
      <c r="I77" s="148" t="n">
        <v>1</v>
      </c>
      <c r="J77" s="148" t="n">
        <v>1</v>
      </c>
      <c r="K77" s="149" t="n">
        <v>1046.63</v>
      </c>
      <c r="L77" s="149" t="n">
        <f aca="false">M77+N77</f>
        <v>1046.63</v>
      </c>
      <c r="M77" s="149" t="n">
        <v>1046.63</v>
      </c>
      <c r="N77" s="190"/>
      <c r="O77" s="151" t="n">
        <v>2</v>
      </c>
      <c r="P77" s="149" t="n">
        <v>3855.96</v>
      </c>
      <c r="Q77" s="149" t="n">
        <f aca="false">R77+S77</f>
        <v>3855.96</v>
      </c>
      <c r="R77" s="149" t="n">
        <v>3855.96</v>
      </c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71"/>
      <c r="G78" s="164" t="s">
        <v>23</v>
      </c>
      <c r="H78" s="175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.75" hidden="false" customHeight="true" outlineLevel="0" collapsed="false">
      <c r="A79" s="17"/>
      <c r="B79" s="18" t="s">
        <v>223</v>
      </c>
      <c r="C79" s="19" t="s">
        <v>33</v>
      </c>
      <c r="D79" s="19" t="s">
        <v>280</v>
      </c>
      <c r="E79" s="19" t="s">
        <v>259</v>
      </c>
      <c r="F79" s="20"/>
      <c r="G79" s="146" t="s">
        <v>22</v>
      </c>
      <c r="H79" s="173" t="n">
        <v>13</v>
      </c>
      <c r="I79" s="148" t="n">
        <v>4</v>
      </c>
      <c r="J79" s="148" t="n">
        <v>4</v>
      </c>
      <c r="K79" s="149" t="n">
        <v>24532.79</v>
      </c>
      <c r="L79" s="149" t="n">
        <f aca="false">M79+N79</f>
        <v>5039.32</v>
      </c>
      <c r="M79" s="149" t="n">
        <v>5039.32</v>
      </c>
      <c r="N79" s="190"/>
      <c r="O79" s="151"/>
      <c r="P79" s="149"/>
      <c r="Q79" s="149" t="n">
        <f aca="false">R79+S79</f>
        <v>0</v>
      </c>
      <c r="R79" s="149"/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26" t="s">
        <v>235</v>
      </c>
      <c r="G80" s="152" t="s">
        <v>23</v>
      </c>
      <c r="H80" s="174" t="n">
        <v>24</v>
      </c>
      <c r="I80" s="154" t="n">
        <v>13</v>
      </c>
      <c r="J80" s="154" t="n">
        <v>13</v>
      </c>
      <c r="K80" s="155" t="n">
        <v>15828.92</v>
      </c>
      <c r="L80" s="155" t="n">
        <v>13890.72</v>
      </c>
      <c r="M80" s="155" t="n">
        <v>13890.72</v>
      </c>
      <c r="N80" s="156"/>
      <c r="O80" s="157"/>
      <c r="P80" s="155"/>
      <c r="Q80" s="155" t="n">
        <f aca="false">R80+S80</f>
        <v>0</v>
      </c>
      <c r="R80" s="155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33"/>
      <c r="B81" s="34" t="s">
        <v>61</v>
      </c>
      <c r="C81" s="35" t="s">
        <v>33</v>
      </c>
      <c r="D81" s="56" t="s">
        <v>62</v>
      </c>
      <c r="E81" s="35" t="s">
        <v>25</v>
      </c>
      <c r="F81" s="36"/>
      <c r="G81" s="158" t="s">
        <v>22</v>
      </c>
      <c r="H81" s="159" t="n">
        <v>5</v>
      </c>
      <c r="I81" s="160" t="n">
        <v>3</v>
      </c>
      <c r="J81" s="160" t="n">
        <v>3</v>
      </c>
      <c r="K81" s="161" t="n">
        <v>4510.72</v>
      </c>
      <c r="L81" s="161" t="n">
        <f aca="false">M81+N81</f>
        <v>4510.72</v>
      </c>
      <c r="M81" s="161" t="n">
        <v>4510.72</v>
      </c>
      <c r="N81" s="190"/>
      <c r="O81" s="163" t="n">
        <v>1</v>
      </c>
      <c r="P81" s="161" t="n">
        <v>5123.54</v>
      </c>
      <c r="Q81" s="161" t="n">
        <f aca="false">R81+S81</f>
        <v>5123.54</v>
      </c>
      <c r="R81" s="161" t="n">
        <v>5123.54</v>
      </c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33"/>
      <c r="B82" s="34"/>
      <c r="C82" s="34"/>
      <c r="D82" s="56"/>
      <c r="E82" s="35"/>
      <c r="F82" s="42" t="s">
        <v>173</v>
      </c>
      <c r="G82" s="164" t="s">
        <v>26</v>
      </c>
      <c r="H82" s="153" t="n">
        <v>4</v>
      </c>
      <c r="I82" s="165" t="n">
        <v>3</v>
      </c>
      <c r="J82" s="165" t="n">
        <v>3</v>
      </c>
      <c r="K82" s="166" t="n">
        <v>2643</v>
      </c>
      <c r="L82" s="166" t="n">
        <f aca="false">M82+N82</f>
        <v>2643</v>
      </c>
      <c r="M82" s="166" t="n">
        <f aca="false">704.8+1938.2</f>
        <v>2643</v>
      </c>
      <c r="N82" s="156"/>
      <c r="O82" s="168" t="n">
        <v>2</v>
      </c>
      <c r="P82" s="166" t="n">
        <v>3171.6</v>
      </c>
      <c r="Q82" s="166" t="n">
        <f aca="false">R82+S82</f>
        <v>2907.3</v>
      </c>
      <c r="R82" s="166" t="n">
        <f aca="false">2907.3</f>
        <v>2907.3</v>
      </c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72"/>
      <c r="B83" s="73" t="s">
        <v>63</v>
      </c>
      <c r="C83" s="74" t="s">
        <v>20</v>
      </c>
      <c r="D83" s="74"/>
      <c r="E83" s="74" t="s">
        <v>25</v>
      </c>
      <c r="F83" s="20"/>
      <c r="G83" s="146" t="s">
        <v>22</v>
      </c>
      <c r="H83" s="169" t="n">
        <v>8</v>
      </c>
      <c r="I83" s="148" t="n">
        <v>4</v>
      </c>
      <c r="J83" s="148" t="n">
        <v>5</v>
      </c>
      <c r="K83" s="149" t="n">
        <v>6604.02</v>
      </c>
      <c r="L83" s="149" t="n">
        <f aca="false">M83+N83</f>
        <v>5720.34</v>
      </c>
      <c r="M83" s="149" t="n">
        <v>1162.92</v>
      </c>
      <c r="N83" s="190" t="n">
        <v>4557.42</v>
      </c>
      <c r="O83" s="151" t="n">
        <v>9</v>
      </c>
      <c r="P83" s="149" t="n">
        <v>28668.15</v>
      </c>
      <c r="Q83" s="149" t="n">
        <f aca="false">R83+S83</f>
        <v>28668.15</v>
      </c>
      <c r="R83" s="149" t="n">
        <v>28069.07</v>
      </c>
      <c r="S83" s="190" t="n">
        <v>599.08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72"/>
      <c r="B84" s="73"/>
      <c r="C84" s="73"/>
      <c r="D84" s="73"/>
      <c r="E84" s="73"/>
      <c r="F84" s="42" t="s">
        <v>174</v>
      </c>
      <c r="G84" s="164" t="s">
        <v>26</v>
      </c>
      <c r="H84" s="153" t="n">
        <v>7</v>
      </c>
      <c r="I84" s="165"/>
      <c r="J84" s="165"/>
      <c r="K84" s="166"/>
      <c r="L84" s="166" t="n">
        <f aca="false">M84+N84</f>
        <v>0</v>
      </c>
      <c r="M84" s="166"/>
      <c r="N84" s="156"/>
      <c r="O84" s="168"/>
      <c r="P84" s="166"/>
      <c r="Q84" s="166" t="n">
        <f aca="false">R84+S84</f>
        <v>0</v>
      </c>
      <c r="R84" s="166"/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72"/>
      <c r="B85" s="73" t="s">
        <v>64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</v>
      </c>
      <c r="I85" s="148" t="n">
        <v>1</v>
      </c>
      <c r="J85" s="148" t="n">
        <v>1</v>
      </c>
      <c r="K85" s="149" t="n">
        <v>1212.02</v>
      </c>
      <c r="L85" s="149" t="n">
        <f aca="false">M85+N85</f>
        <v>0</v>
      </c>
      <c r="M85" s="149"/>
      <c r="N85" s="190"/>
      <c r="O85" s="151"/>
      <c r="P85" s="149"/>
      <c r="Q85" s="149" t="n">
        <f aca="false">R85+S85</f>
        <v>0</v>
      </c>
      <c r="R85" s="149"/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71"/>
      <c r="G86" s="164" t="s">
        <v>26</v>
      </c>
      <c r="H86" s="153"/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.75" hidden="false" customHeight="true" outlineLevel="0" collapsed="false">
      <c r="A87" s="17"/>
      <c r="B87" s="18" t="s">
        <v>65</v>
      </c>
      <c r="C87" s="19" t="s">
        <v>33</v>
      </c>
      <c r="D87" s="19" t="s">
        <v>66</v>
      </c>
      <c r="E87" s="19" t="s">
        <v>67</v>
      </c>
      <c r="F87" s="20"/>
      <c r="G87" s="146" t="s">
        <v>22</v>
      </c>
      <c r="H87" s="159" t="n">
        <v>8</v>
      </c>
      <c r="I87" s="148" t="n">
        <v>6</v>
      </c>
      <c r="J87" s="148" t="n">
        <v>7</v>
      </c>
      <c r="K87" s="149" t="n">
        <v>8722.99</v>
      </c>
      <c r="L87" s="149" t="n">
        <f aca="false">M87+N87</f>
        <v>5752.93</v>
      </c>
      <c r="M87" s="149" t="n">
        <v>3057.07</v>
      </c>
      <c r="N87" s="190" t="n">
        <v>2695.86</v>
      </c>
      <c r="O87" s="151" t="n">
        <v>11</v>
      </c>
      <c r="P87" s="149" t="n">
        <v>45595.17</v>
      </c>
      <c r="Q87" s="149" t="n">
        <f aca="false">R87+S87</f>
        <v>43656.97</v>
      </c>
      <c r="R87" s="149" t="n">
        <v>14207.76</v>
      </c>
      <c r="S87" s="190" t="n">
        <v>29449.21</v>
      </c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42" t="s">
        <v>236</v>
      </c>
      <c r="G88" s="164" t="s">
        <v>23</v>
      </c>
      <c r="H88" s="172" t="n">
        <v>35</v>
      </c>
      <c r="I88" s="165" t="n">
        <v>29</v>
      </c>
      <c r="J88" s="165" t="n">
        <v>29</v>
      </c>
      <c r="K88" s="166" t="n">
        <v>32865.6</v>
      </c>
      <c r="L88" s="166" t="n">
        <v>18501</v>
      </c>
      <c r="M88" s="166" t="n">
        <v>18501</v>
      </c>
      <c r="N88" s="156"/>
      <c r="O88" s="168" t="n">
        <v>35</v>
      </c>
      <c r="P88" s="166" t="n">
        <v>72518.62</v>
      </c>
      <c r="Q88" s="166" t="n">
        <v>30232.1</v>
      </c>
      <c r="R88" s="166" t="n">
        <v>30232.1</v>
      </c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true" outlineLevel="0" collapsed="false">
      <c r="A89" s="17"/>
      <c r="B89" s="18" t="s">
        <v>175</v>
      </c>
      <c r="C89" s="19"/>
      <c r="D89" s="19"/>
      <c r="E89" s="19"/>
      <c r="F89" s="137"/>
      <c r="G89" s="146" t="s">
        <v>22</v>
      </c>
      <c r="H89" s="147" t="n">
        <v>6</v>
      </c>
      <c r="I89" s="148" t="n">
        <v>4</v>
      </c>
      <c r="J89" s="148" t="n">
        <v>5</v>
      </c>
      <c r="K89" s="149" t="n">
        <v>7825.97</v>
      </c>
      <c r="L89" s="149" t="n">
        <f aca="false">M89+N89</f>
        <v>2035.11</v>
      </c>
      <c r="M89" s="149" t="n">
        <v>2035.11</v>
      </c>
      <c r="N89" s="190"/>
      <c r="O89" s="151"/>
      <c r="P89" s="149"/>
      <c r="Q89" s="149" t="n">
        <f aca="false">R89+S89</f>
        <v>0</v>
      </c>
      <c r="R89" s="149"/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" hidden="false" customHeight="false" outlineLevel="0" collapsed="false">
      <c r="A90" s="17"/>
      <c r="B90" s="18"/>
      <c r="C90" s="18"/>
      <c r="D90" s="18"/>
      <c r="E90" s="18"/>
      <c r="F90" s="89"/>
      <c r="G90" s="164" t="s">
        <v>26</v>
      </c>
      <c r="H90" s="178" t="n">
        <v>8</v>
      </c>
      <c r="I90" s="165" t="n">
        <v>4</v>
      </c>
      <c r="J90" s="165" t="n">
        <v>4</v>
      </c>
      <c r="K90" s="166" t="n">
        <v>7576.6</v>
      </c>
      <c r="L90" s="166" t="n">
        <f aca="false">M90+N90</f>
        <v>6343.23</v>
      </c>
      <c r="M90" s="166" t="n">
        <f aca="false">2290.6+4052.63</f>
        <v>6343.23</v>
      </c>
      <c r="N90" s="156"/>
      <c r="O90" s="168"/>
      <c r="P90" s="166"/>
      <c r="Q90" s="166" t="n">
        <f aca="false">R90+S90</f>
        <v>0</v>
      </c>
      <c r="R90" s="166"/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68</v>
      </c>
      <c r="C91" s="19" t="s">
        <v>20</v>
      </c>
      <c r="D91" s="19"/>
      <c r="E91" s="19" t="s">
        <v>69</v>
      </c>
      <c r="F91" s="22"/>
      <c r="G91" s="146" t="s">
        <v>22</v>
      </c>
      <c r="H91" s="147" t="n">
        <v>6</v>
      </c>
      <c r="I91" s="148" t="n">
        <v>5</v>
      </c>
      <c r="J91" s="148" t="n">
        <v>5</v>
      </c>
      <c r="K91" s="149" t="n">
        <v>13071.4</v>
      </c>
      <c r="L91" s="149" t="n">
        <f aca="false">M91+N91</f>
        <v>4786.75</v>
      </c>
      <c r="M91" s="149" t="n">
        <v>4786.75</v>
      </c>
      <c r="N91" s="190"/>
      <c r="O91" s="151" t="n">
        <v>15</v>
      </c>
      <c r="P91" s="149" t="n">
        <v>48957.86</v>
      </c>
      <c r="Q91" s="149" t="n">
        <f aca="false">R91+S91</f>
        <v>48957.86</v>
      </c>
      <c r="R91" s="149" t="n">
        <v>46890.62</v>
      </c>
      <c r="S91" s="190" t="n">
        <v>2067.24</v>
      </c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.75" hidden="false" customHeight="true" outlineLevel="0" collapsed="false">
      <c r="A92" s="17"/>
      <c r="B92" s="18"/>
      <c r="C92" s="18"/>
      <c r="D92" s="18"/>
      <c r="E92" s="18"/>
      <c r="F92" s="26" t="s">
        <v>176</v>
      </c>
      <c r="G92" s="152" t="s">
        <v>26</v>
      </c>
      <c r="H92" s="153" t="n">
        <v>8</v>
      </c>
      <c r="I92" s="154" t="n">
        <v>3</v>
      </c>
      <c r="J92" s="154" t="n">
        <v>3</v>
      </c>
      <c r="K92" s="235" t="n">
        <v>5995.52</v>
      </c>
      <c r="L92" s="155" t="n">
        <f aca="false">M92+N92</f>
        <v>6096.52</v>
      </c>
      <c r="M92" s="155" t="n">
        <f aca="false">2819.2+3277.32</f>
        <v>6096.52</v>
      </c>
      <c r="N92" s="156"/>
      <c r="O92" s="157"/>
      <c r="P92" s="155" t="n">
        <v>5462.2</v>
      </c>
      <c r="Q92" s="155" t="n">
        <f aca="false">R92+S92</f>
        <v>4405</v>
      </c>
      <c r="R92" s="155" t="n">
        <f aca="false">4405</f>
        <v>4405</v>
      </c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54"/>
      <c r="B93" s="55" t="s">
        <v>70</v>
      </c>
      <c r="C93" s="56" t="s">
        <v>20</v>
      </c>
      <c r="D93" s="56" t="s">
        <v>71</v>
      </c>
      <c r="E93" s="56" t="s">
        <v>25</v>
      </c>
      <c r="F93" s="36"/>
      <c r="G93" s="158" t="s">
        <v>22</v>
      </c>
      <c r="H93" s="169" t="n">
        <v>1</v>
      </c>
      <c r="I93" s="160"/>
      <c r="J93" s="160"/>
      <c r="K93" s="161"/>
      <c r="L93" s="161" t="n">
        <f aca="false">M93+N93</f>
        <v>0</v>
      </c>
      <c r="M93" s="161"/>
      <c r="N93" s="190"/>
      <c r="O93" s="163" t="n">
        <v>4</v>
      </c>
      <c r="P93" s="161" t="n">
        <v>27231.45</v>
      </c>
      <c r="Q93" s="161" t="n">
        <f aca="false">R93+S93</f>
        <v>7836.01</v>
      </c>
      <c r="R93" s="161" t="n">
        <v>7836.01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54"/>
      <c r="B94" s="55"/>
      <c r="C94" s="55"/>
      <c r="D94" s="55"/>
      <c r="E94" s="55"/>
      <c r="F94" s="26" t="s">
        <v>177</v>
      </c>
      <c r="G94" s="152" t="s">
        <v>26</v>
      </c>
      <c r="H94" s="153" t="n">
        <v>7</v>
      </c>
      <c r="I94" s="154" t="n">
        <v>1</v>
      </c>
      <c r="J94" s="154" t="n">
        <v>1</v>
      </c>
      <c r="K94" s="155" t="n">
        <v>1409.6</v>
      </c>
      <c r="L94" s="155" t="n">
        <f aca="false">M94+N94</f>
        <v>1409.6</v>
      </c>
      <c r="M94" s="155" t="n">
        <f aca="false">1409.6</f>
        <v>1409.6</v>
      </c>
      <c r="N94" s="156"/>
      <c r="O94" s="157"/>
      <c r="P94" s="155"/>
      <c r="Q94" s="155" t="n">
        <f aca="false">R94+S94</f>
        <v>0</v>
      </c>
      <c r="R94" s="155"/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" hidden="false" customHeight="true" outlineLevel="0" collapsed="false">
      <c r="A95" s="33"/>
      <c r="B95" s="34" t="s">
        <v>72</v>
      </c>
      <c r="C95" s="35" t="s">
        <v>20</v>
      </c>
      <c r="D95" s="35"/>
      <c r="E95" s="35" t="s">
        <v>52</v>
      </c>
      <c r="F95" s="36"/>
      <c r="G95" s="146" t="s">
        <v>22</v>
      </c>
      <c r="H95" s="159" t="n">
        <v>7</v>
      </c>
      <c r="I95" s="160" t="n">
        <v>4</v>
      </c>
      <c r="J95" s="160" t="n">
        <v>4</v>
      </c>
      <c r="K95" s="161" t="n">
        <v>6532.71</v>
      </c>
      <c r="L95" s="161" t="n">
        <f aca="false">M95+N95</f>
        <v>5486.08</v>
      </c>
      <c r="M95" s="161" t="n">
        <v>5486.08</v>
      </c>
      <c r="N95" s="190"/>
      <c r="O95" s="163" t="n">
        <v>6</v>
      </c>
      <c r="P95" s="161" t="n">
        <v>44299.53</v>
      </c>
      <c r="Q95" s="161" t="n">
        <f aca="false">R95+S95</f>
        <v>44299.53</v>
      </c>
      <c r="R95" s="161" t="n">
        <v>44299.53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33"/>
      <c r="B96" s="34"/>
      <c r="C96" s="34"/>
      <c r="D96" s="34"/>
      <c r="E96" s="34"/>
      <c r="F96" s="42" t="s">
        <v>178</v>
      </c>
      <c r="G96" s="164" t="s">
        <v>26</v>
      </c>
      <c r="H96" s="171" t="n">
        <v>5</v>
      </c>
      <c r="I96" s="165" t="n">
        <v>3</v>
      </c>
      <c r="J96" s="165" t="n">
        <v>3</v>
      </c>
      <c r="K96" s="166" t="n">
        <v>2858.7</v>
      </c>
      <c r="L96" s="161" t="n">
        <f aca="false">M96+N96</f>
        <v>4052.6</v>
      </c>
      <c r="M96" s="166" t="n">
        <v>4052.6</v>
      </c>
      <c r="N96" s="156"/>
      <c r="O96" s="168" t="n">
        <v>4</v>
      </c>
      <c r="P96" s="166" t="n">
        <v>11989.48</v>
      </c>
      <c r="Q96" s="166" t="n">
        <f aca="false">R96+S96</f>
        <v>11989.48</v>
      </c>
      <c r="R96" s="166" t="n">
        <f aca="false">3347.8+8641.68</f>
        <v>11989.48</v>
      </c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17"/>
      <c r="B97" s="18" t="s">
        <v>73</v>
      </c>
      <c r="C97" s="19" t="s">
        <v>20</v>
      </c>
      <c r="D97" s="19"/>
      <c r="E97" s="19" t="s">
        <v>52</v>
      </c>
      <c r="F97" s="20"/>
      <c r="G97" s="146" t="s">
        <v>22</v>
      </c>
      <c r="H97" s="159" t="n">
        <v>5</v>
      </c>
      <c r="I97" s="148" t="n">
        <v>2</v>
      </c>
      <c r="J97" s="148" t="n">
        <v>3</v>
      </c>
      <c r="K97" s="149" t="n">
        <v>4990.89</v>
      </c>
      <c r="L97" s="149" t="n">
        <f aca="false">M97+N97</f>
        <v>2277.26</v>
      </c>
      <c r="M97" s="149" t="n">
        <v>2277.26</v>
      </c>
      <c r="N97" s="190"/>
      <c r="O97" s="151" t="n">
        <v>4</v>
      </c>
      <c r="P97" s="149" t="n">
        <v>11448.19</v>
      </c>
      <c r="Q97" s="149" t="n">
        <f aca="false">R97+S97</f>
        <v>10069.05</v>
      </c>
      <c r="R97" s="149" t="n">
        <v>10069.05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17"/>
      <c r="B98" s="18"/>
      <c r="C98" s="18"/>
      <c r="D98" s="18"/>
      <c r="E98" s="18"/>
      <c r="F98" s="26" t="s">
        <v>179</v>
      </c>
      <c r="G98" s="152" t="s">
        <v>26</v>
      </c>
      <c r="H98" s="153" t="n">
        <v>7</v>
      </c>
      <c r="I98" s="154" t="n">
        <v>3</v>
      </c>
      <c r="J98" s="154" t="n">
        <v>3</v>
      </c>
      <c r="K98" s="155" t="n">
        <v>8454.6</v>
      </c>
      <c r="L98" s="155" t="n">
        <f aca="false">M98+N98</f>
        <v>12686.4</v>
      </c>
      <c r="M98" s="155" t="n">
        <f aca="false">5109.8+7576.6</f>
        <v>12686.4</v>
      </c>
      <c r="N98" s="156"/>
      <c r="O98" s="157" t="n">
        <v>2</v>
      </c>
      <c r="P98" s="155"/>
      <c r="Q98" s="155" t="n">
        <f aca="false">R98+S98</f>
        <v>0</v>
      </c>
      <c r="R98" s="155"/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33"/>
      <c r="B99" s="34" t="s">
        <v>74</v>
      </c>
      <c r="C99" s="35" t="s">
        <v>33</v>
      </c>
      <c r="D99" s="35" t="s">
        <v>75</v>
      </c>
      <c r="E99" s="35" t="s">
        <v>25</v>
      </c>
      <c r="F99" s="36"/>
      <c r="G99" s="146" t="s">
        <v>22</v>
      </c>
      <c r="H99" s="159" t="n">
        <v>30</v>
      </c>
      <c r="I99" s="160" t="n">
        <v>23</v>
      </c>
      <c r="J99" s="160" t="n">
        <v>23</v>
      </c>
      <c r="K99" s="161" t="n">
        <v>45775.46</v>
      </c>
      <c r="L99" s="161" t="n">
        <f aca="false">M99+N99</f>
        <v>22267.64</v>
      </c>
      <c r="M99" s="161" t="n">
        <v>11782.59</v>
      </c>
      <c r="N99" s="190" t="n">
        <v>10485.05</v>
      </c>
      <c r="O99" s="163" t="n">
        <v>25</v>
      </c>
      <c r="P99" s="161" t="n">
        <v>141220.34</v>
      </c>
      <c r="Q99" s="161" t="n">
        <f aca="false">R99+S99</f>
        <v>57478.81</v>
      </c>
      <c r="R99" s="161" t="n">
        <v>42638.01</v>
      </c>
      <c r="S99" s="190" t="n">
        <v>14840.8</v>
      </c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33"/>
      <c r="B100" s="34"/>
      <c r="C100" s="34"/>
      <c r="D100" s="34"/>
      <c r="E100" s="34"/>
      <c r="F100" s="42" t="s">
        <v>270</v>
      </c>
      <c r="G100" s="164" t="s">
        <v>26</v>
      </c>
      <c r="H100" s="153"/>
      <c r="I100" s="165"/>
      <c r="J100" s="165"/>
      <c r="K100" s="166"/>
      <c r="L100" s="166" t="n">
        <f aca="false">M100+N100</f>
        <v>0</v>
      </c>
      <c r="M100" s="166"/>
      <c r="N100" s="156"/>
      <c r="O100" s="168" t="n">
        <v>7</v>
      </c>
      <c r="P100" s="166" t="n">
        <v>23170.3</v>
      </c>
      <c r="Q100" s="166" t="n">
        <f aca="false">R100+S100</f>
        <v>23170.3</v>
      </c>
      <c r="R100" s="166" t="n">
        <f aca="false">21936.9+1233.4</f>
        <v>23170.3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" hidden="false" customHeight="true" outlineLevel="0" collapsed="false">
      <c r="A101" s="72"/>
      <c r="B101" s="73" t="s">
        <v>76</v>
      </c>
      <c r="C101" s="74" t="s">
        <v>20</v>
      </c>
      <c r="D101" s="74" t="s">
        <v>180</v>
      </c>
      <c r="E101" s="74" t="s">
        <v>25</v>
      </c>
      <c r="F101" s="20"/>
      <c r="G101" s="146" t="s">
        <v>22</v>
      </c>
      <c r="H101" s="159" t="n">
        <v>19</v>
      </c>
      <c r="I101" s="148" t="n">
        <v>15</v>
      </c>
      <c r="J101" s="148" t="n">
        <v>15</v>
      </c>
      <c r="K101" s="149" t="n">
        <v>12723.15</v>
      </c>
      <c r="L101" s="149" t="n">
        <f aca="false">M101+N101</f>
        <v>11302.98</v>
      </c>
      <c r="M101" s="149" t="n">
        <v>5035.24</v>
      </c>
      <c r="N101" s="190" t="n">
        <v>6267.74</v>
      </c>
      <c r="O101" s="151" t="n">
        <v>2</v>
      </c>
      <c r="P101" s="149" t="n">
        <v>12380.09</v>
      </c>
      <c r="Q101" s="149" t="n">
        <f aca="false">R101+S101</f>
        <v>12380.09</v>
      </c>
      <c r="R101" s="149" t="n">
        <v>12380.09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72"/>
      <c r="B102" s="73"/>
      <c r="C102" s="73"/>
      <c r="D102" s="73"/>
      <c r="E102" s="73"/>
      <c r="F102" s="42" t="s">
        <v>181</v>
      </c>
      <c r="G102" s="164" t="s">
        <v>26</v>
      </c>
      <c r="H102" s="171" t="n">
        <v>7</v>
      </c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7</v>
      </c>
      <c r="P102" s="166" t="n">
        <v>8457.6</v>
      </c>
      <c r="Q102" s="166" t="n">
        <f aca="false">R102+S102</f>
        <v>7488.5</v>
      </c>
      <c r="R102" s="165" t="n">
        <f aca="false">6431.3+1057.2</f>
        <v>7488.5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17"/>
      <c r="B103" s="18" t="s">
        <v>77</v>
      </c>
      <c r="C103" s="19" t="s">
        <v>38</v>
      </c>
      <c r="D103" s="19" t="s">
        <v>78</v>
      </c>
      <c r="E103" s="19" t="s">
        <v>25</v>
      </c>
      <c r="F103" s="22"/>
      <c r="G103" s="146" t="s">
        <v>22</v>
      </c>
      <c r="H103" s="169" t="n">
        <v>9</v>
      </c>
      <c r="I103" s="148" t="n">
        <v>9</v>
      </c>
      <c r="J103" s="148" t="n">
        <v>10</v>
      </c>
      <c r="K103" s="149" t="n">
        <v>8791.28</v>
      </c>
      <c r="L103" s="149" t="n">
        <f aca="false">M103+N103</f>
        <v>7482.33</v>
      </c>
      <c r="M103" s="149" t="n">
        <v>4148.63</v>
      </c>
      <c r="N103" s="190" t="n">
        <v>3333.7</v>
      </c>
      <c r="O103" s="151" t="n">
        <v>7</v>
      </c>
      <c r="P103" s="149" t="n">
        <v>12808.33</v>
      </c>
      <c r="Q103" s="149" t="n">
        <f aca="false">R103+S103</f>
        <v>12279.73</v>
      </c>
      <c r="R103" s="149" t="n">
        <v>8651.42</v>
      </c>
      <c r="S103" s="190" t="n">
        <v>3628.31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17"/>
      <c r="B104" s="18"/>
      <c r="C104" s="18"/>
      <c r="D104" s="18"/>
      <c r="E104" s="18"/>
      <c r="F104" s="80" t="s">
        <v>182</v>
      </c>
      <c r="G104" s="180" t="s">
        <v>26</v>
      </c>
      <c r="H104" s="159" t="n">
        <v>6</v>
      </c>
      <c r="I104" s="181" t="n">
        <v>1</v>
      </c>
      <c r="J104" s="181" t="n">
        <v>1</v>
      </c>
      <c r="K104" s="182" t="n">
        <v>4581.2</v>
      </c>
      <c r="L104" s="182" t="n">
        <f aca="false">M104+N104</f>
        <v>3876.4</v>
      </c>
      <c r="M104" s="182" t="n">
        <f aca="false">3876.4</f>
        <v>3876.4</v>
      </c>
      <c r="N104" s="167"/>
      <c r="O104" s="184" t="n">
        <v>9</v>
      </c>
      <c r="P104" s="182" t="n">
        <v>20318.3</v>
      </c>
      <c r="Q104" s="182" t="n">
        <f aca="false">R104+S104</f>
        <v>16386.6</v>
      </c>
      <c r="R104" s="182" t="n">
        <f aca="false">8986.2+7400.4</f>
        <v>16386.6</v>
      </c>
      <c r="S104" s="167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false" outlineLevel="0" collapsed="false">
      <c r="A105" s="17"/>
      <c r="B105" s="18"/>
      <c r="C105" s="18"/>
      <c r="D105" s="18"/>
      <c r="E105" s="18"/>
      <c r="F105" s="85" t="s">
        <v>237</v>
      </c>
      <c r="G105" s="185" t="s">
        <v>23</v>
      </c>
      <c r="H105" s="186" t="n">
        <v>2</v>
      </c>
      <c r="I105" s="154" t="n">
        <v>2</v>
      </c>
      <c r="J105" s="154" t="n">
        <v>2</v>
      </c>
      <c r="K105" s="155" t="n">
        <v>9338.6</v>
      </c>
      <c r="L105" s="155" t="n">
        <v>9338.6</v>
      </c>
      <c r="M105" s="155" t="n">
        <v>9338.6</v>
      </c>
      <c r="N105" s="156"/>
      <c r="O105" s="157" t="n">
        <v>4</v>
      </c>
      <c r="P105" s="155" t="n">
        <v>8281.4</v>
      </c>
      <c r="Q105" s="155" t="n">
        <v>3347.8</v>
      </c>
      <c r="R105" s="155" t="n">
        <v>3347.8</v>
      </c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" hidden="false" customHeight="true" outlineLevel="0" collapsed="false">
      <c r="A106" s="33"/>
      <c r="B106" s="34" t="s">
        <v>79</v>
      </c>
      <c r="C106" s="35" t="s">
        <v>20</v>
      </c>
      <c r="D106" s="35"/>
      <c r="E106" s="35" t="s">
        <v>52</v>
      </c>
      <c r="F106" s="38"/>
      <c r="G106" s="146" t="s">
        <v>22</v>
      </c>
      <c r="H106" s="159" t="n">
        <v>8</v>
      </c>
      <c r="I106" s="160" t="n">
        <v>4</v>
      </c>
      <c r="J106" s="160" t="n">
        <v>5</v>
      </c>
      <c r="K106" s="161" t="n">
        <v>10066.22</v>
      </c>
      <c r="L106" s="161" t="n">
        <f aca="false">M106+N106</f>
        <v>6509.89</v>
      </c>
      <c r="M106" s="161" t="n">
        <v>5452.69</v>
      </c>
      <c r="N106" s="190" t="n">
        <v>1057.2</v>
      </c>
      <c r="O106" s="163" t="n">
        <v>9</v>
      </c>
      <c r="P106" s="161" t="n">
        <v>33475.92</v>
      </c>
      <c r="Q106" s="161" t="n">
        <f aca="false">R106+S106</f>
        <v>32771.12</v>
      </c>
      <c r="R106" s="161" t="n">
        <v>23178.94</v>
      </c>
      <c r="S106" s="190" t="n">
        <v>9592.18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42"/>
      <c r="G107" s="164" t="s">
        <v>26</v>
      </c>
      <c r="H107" s="153"/>
      <c r="I107" s="165"/>
      <c r="J107" s="165"/>
      <c r="K107" s="166"/>
      <c r="L107" s="166" t="n">
        <f aca="false">M107+N107</f>
        <v>0</v>
      </c>
      <c r="M107" s="166"/>
      <c r="N107" s="156"/>
      <c r="O107" s="168"/>
      <c r="P107" s="166"/>
      <c r="Q107" s="166" t="n">
        <f aca="false">R107+S107</f>
        <v>0</v>
      </c>
      <c r="R107" s="166"/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72"/>
      <c r="B108" s="73" t="s">
        <v>80</v>
      </c>
      <c r="C108" s="74" t="s">
        <v>20</v>
      </c>
      <c r="D108" s="74"/>
      <c r="E108" s="74" t="s">
        <v>81</v>
      </c>
      <c r="F108" s="20"/>
      <c r="G108" s="146" t="s">
        <v>22</v>
      </c>
      <c r="H108" s="159" t="n">
        <v>8</v>
      </c>
      <c r="I108" s="148" t="n">
        <v>5</v>
      </c>
      <c r="J108" s="148" t="n">
        <v>6</v>
      </c>
      <c r="K108" s="149" t="n">
        <v>7909.09</v>
      </c>
      <c r="L108" s="149" t="n">
        <f aca="false">M108+N108</f>
        <v>7909.09</v>
      </c>
      <c r="M108" s="149" t="n">
        <v>7909.09</v>
      </c>
      <c r="N108" s="190"/>
      <c r="O108" s="151" t="n">
        <v>1</v>
      </c>
      <c r="P108" s="149" t="n">
        <v>2381.63</v>
      </c>
      <c r="Q108" s="149" t="n">
        <f aca="false">R108+S108</f>
        <v>2381.63</v>
      </c>
      <c r="R108" s="149" t="n">
        <v>2381.63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72"/>
      <c r="B109" s="73"/>
      <c r="C109" s="73"/>
      <c r="D109" s="73"/>
      <c r="E109" s="73"/>
      <c r="F109" s="42" t="s">
        <v>183</v>
      </c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 t="n">
        <v>1</v>
      </c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17"/>
      <c r="B110" s="18" t="s">
        <v>82</v>
      </c>
      <c r="C110" s="19" t="s">
        <v>20</v>
      </c>
      <c r="D110" s="19" t="s">
        <v>184</v>
      </c>
      <c r="E110" s="19" t="s">
        <v>25</v>
      </c>
      <c r="F110" s="22"/>
      <c r="G110" s="146" t="s">
        <v>22</v>
      </c>
      <c r="H110" s="159" t="n">
        <v>27</v>
      </c>
      <c r="I110" s="148" t="n">
        <v>22</v>
      </c>
      <c r="J110" s="148" t="n">
        <v>28</v>
      </c>
      <c r="K110" s="149" t="n">
        <v>36614.08</v>
      </c>
      <c r="L110" s="149" t="n">
        <f aca="false">M110+N110</f>
        <v>29760.04</v>
      </c>
      <c r="M110" s="149" t="n">
        <v>15002.32</v>
      </c>
      <c r="N110" s="190" t="n">
        <v>14757.72</v>
      </c>
      <c r="O110" s="151" t="n">
        <v>4</v>
      </c>
      <c r="P110" s="149" t="n">
        <v>25421.86</v>
      </c>
      <c r="Q110" s="149" t="n">
        <f aca="false">R110+S110</f>
        <v>16087.08</v>
      </c>
      <c r="R110" s="149" t="n">
        <v>8372.97</v>
      </c>
      <c r="S110" s="190" t="n">
        <v>7714.11</v>
      </c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17"/>
      <c r="B111" s="18"/>
      <c r="C111" s="18"/>
      <c r="D111" s="18"/>
      <c r="E111" s="18"/>
      <c r="F111" s="42" t="s">
        <v>185</v>
      </c>
      <c r="G111" s="164" t="s">
        <v>26</v>
      </c>
      <c r="H111" s="175" t="n">
        <v>4</v>
      </c>
      <c r="I111" s="165" t="n">
        <v>2</v>
      </c>
      <c r="J111" s="165" t="n">
        <v>2</v>
      </c>
      <c r="K111" s="166" t="n">
        <v>6519.4</v>
      </c>
      <c r="L111" s="166" t="n">
        <f aca="false">M111+N111</f>
        <v>2907.3</v>
      </c>
      <c r="M111" s="166" t="n">
        <f aca="false">2907.3</f>
        <v>2907.3</v>
      </c>
      <c r="N111" s="156"/>
      <c r="O111" s="168" t="n">
        <v>2</v>
      </c>
      <c r="P111" s="166" t="n">
        <v>10748.14</v>
      </c>
      <c r="Q111" s="166" t="n">
        <f aca="false">R111+S111</f>
        <v>10748.14</v>
      </c>
      <c r="R111" s="166" t="n">
        <f aca="false">2643+8105.14</f>
        <v>10748.14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254</v>
      </c>
      <c r="C112" s="19" t="s">
        <v>20</v>
      </c>
      <c r="D112" s="19"/>
      <c r="E112" s="19" t="s">
        <v>25</v>
      </c>
      <c r="F112" s="20"/>
      <c r="G112" s="204" t="s">
        <v>22</v>
      </c>
      <c r="H112" s="205"/>
      <c r="I112" s="148"/>
      <c r="J112" s="148"/>
      <c r="K112" s="149"/>
      <c r="L112" s="149"/>
      <c r="M112" s="149"/>
      <c r="N112" s="190"/>
      <c r="O112" s="206"/>
      <c r="P112" s="149"/>
      <c r="Q112" s="149"/>
      <c r="R112" s="149"/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" hidden="false" customHeight="false" outlineLevel="0" collapsed="false">
      <c r="A113" s="17"/>
      <c r="B113" s="18"/>
      <c r="C113" s="18"/>
      <c r="D113" s="18"/>
      <c r="E113" s="18"/>
      <c r="F113" s="26" t="s">
        <v>271</v>
      </c>
      <c r="G113" s="207" t="s">
        <v>26</v>
      </c>
      <c r="H113" s="208" t="n">
        <v>4</v>
      </c>
      <c r="I113" s="154"/>
      <c r="J113" s="154"/>
      <c r="K113" s="155"/>
      <c r="L113" s="155"/>
      <c r="M113" s="155"/>
      <c r="N113" s="156"/>
      <c r="O113" s="209"/>
      <c r="P113" s="155"/>
      <c r="Q113" s="155"/>
      <c r="R113" s="155"/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54"/>
      <c r="B114" s="55" t="s">
        <v>83</v>
      </c>
      <c r="C114" s="56" t="s">
        <v>20</v>
      </c>
      <c r="D114" s="56"/>
      <c r="E114" s="56" t="s">
        <v>25</v>
      </c>
      <c r="F114" s="36"/>
      <c r="G114" s="158" t="s">
        <v>22</v>
      </c>
      <c r="H114" s="159" t="n">
        <v>13</v>
      </c>
      <c r="I114" s="160" t="n">
        <v>10</v>
      </c>
      <c r="J114" s="160" t="n">
        <v>10</v>
      </c>
      <c r="K114" s="161" t="n">
        <v>9972.74</v>
      </c>
      <c r="L114" s="161" t="n">
        <f aca="false">M114+N114</f>
        <v>9100.55</v>
      </c>
      <c r="M114" s="161" t="n">
        <v>9100.55</v>
      </c>
      <c r="N114" s="190"/>
      <c r="O114" s="163" t="n">
        <v>5</v>
      </c>
      <c r="P114" s="161" t="n">
        <v>16326.21</v>
      </c>
      <c r="Q114" s="161" t="n">
        <f aca="false">R114+S114</f>
        <v>12699.66</v>
      </c>
      <c r="R114" s="161" t="n">
        <v>12699.66</v>
      </c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54"/>
      <c r="B115" s="55"/>
      <c r="C115" s="55"/>
      <c r="D115" s="55"/>
      <c r="E115" s="55"/>
      <c r="F115" s="26" t="s">
        <v>186</v>
      </c>
      <c r="G115" s="152" t="s">
        <v>26</v>
      </c>
      <c r="H115" s="153" t="n">
        <v>4</v>
      </c>
      <c r="I115" s="154" t="n">
        <v>3</v>
      </c>
      <c r="J115" s="154" t="n">
        <v>3</v>
      </c>
      <c r="K115" s="155" t="n">
        <v>8644.5</v>
      </c>
      <c r="L115" s="155" t="n">
        <f aca="false">M115+N115</f>
        <v>0</v>
      </c>
      <c r="M115" s="155"/>
      <c r="N115" s="156"/>
      <c r="O115" s="157" t="n">
        <v>9</v>
      </c>
      <c r="P115" s="155" t="n">
        <v>22553.6</v>
      </c>
      <c r="Q115" s="155" t="n">
        <f aca="false">R115+S115</f>
        <v>22553.6</v>
      </c>
      <c r="R115" s="155" t="n">
        <f aca="false">528.6+22025</f>
        <v>22553.6</v>
      </c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33"/>
      <c r="B116" s="34" t="s">
        <v>84</v>
      </c>
      <c r="C116" s="35" t="s">
        <v>20</v>
      </c>
      <c r="D116" s="35"/>
      <c r="E116" s="35" t="s">
        <v>52</v>
      </c>
      <c r="F116" s="36"/>
      <c r="G116" s="146" t="s">
        <v>22</v>
      </c>
      <c r="H116" s="159" t="n">
        <v>29</v>
      </c>
      <c r="I116" s="160" t="n">
        <v>19</v>
      </c>
      <c r="J116" s="160" t="n">
        <v>28</v>
      </c>
      <c r="K116" s="161" t="n">
        <v>51943.96</v>
      </c>
      <c r="L116" s="161" t="n">
        <f aca="false">M116+N116</f>
        <v>33320.63</v>
      </c>
      <c r="M116" s="161" t="n">
        <v>12299.99</v>
      </c>
      <c r="N116" s="190" t="n">
        <v>21020.64</v>
      </c>
      <c r="O116" s="163" t="n">
        <v>26</v>
      </c>
      <c r="P116" s="161" t="n">
        <v>50568.54</v>
      </c>
      <c r="Q116" s="161" t="n">
        <f aca="false">R116+S116</f>
        <v>48972.74</v>
      </c>
      <c r="R116" s="161" t="n">
        <v>32814.22</v>
      </c>
      <c r="S116" s="190" t="n">
        <v>16158.52</v>
      </c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71"/>
      <c r="G117" s="164" t="s">
        <v>26</v>
      </c>
      <c r="H117" s="153"/>
      <c r="I117" s="165"/>
      <c r="J117" s="165"/>
      <c r="K117" s="166"/>
      <c r="L117" s="166" t="n">
        <f aca="false">M117+N117</f>
        <v>0</v>
      </c>
      <c r="M117" s="166"/>
      <c r="N117" s="156"/>
      <c r="O117" s="168"/>
      <c r="P117" s="166"/>
      <c r="Q117" s="166" t="n">
        <f aca="false">R117+S117</f>
        <v>0</v>
      </c>
      <c r="R117" s="166"/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17"/>
      <c r="B118" s="18" t="s">
        <v>85</v>
      </c>
      <c r="C118" s="19" t="s">
        <v>20</v>
      </c>
      <c r="D118" s="19"/>
      <c r="E118" s="19" t="s">
        <v>25</v>
      </c>
      <c r="F118" s="87"/>
      <c r="G118" s="146" t="s">
        <v>22</v>
      </c>
      <c r="H118" s="169" t="n">
        <v>6</v>
      </c>
      <c r="I118" s="148" t="n">
        <v>3</v>
      </c>
      <c r="J118" s="148" t="n">
        <v>3</v>
      </c>
      <c r="K118" s="149" t="n">
        <v>1633.2</v>
      </c>
      <c r="L118" s="149" t="n">
        <f aca="false">M118+N118</f>
        <v>528.6</v>
      </c>
      <c r="M118" s="149" t="n">
        <v>528.6</v>
      </c>
      <c r="N118" s="190"/>
      <c r="O118" s="151" t="n">
        <v>5</v>
      </c>
      <c r="P118" s="149" t="n">
        <v>53507.38</v>
      </c>
      <c r="Q118" s="149" t="n">
        <f aca="false">R118+S118</f>
        <v>1162.92</v>
      </c>
      <c r="R118" s="149" t="n">
        <v>1162.92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88"/>
      <c r="G119" s="152" t="s">
        <v>26</v>
      </c>
      <c r="H119" s="153"/>
      <c r="I119" s="154"/>
      <c r="J119" s="154"/>
      <c r="K119" s="155"/>
      <c r="L119" s="155" t="n">
        <f aca="false">M119+N119</f>
        <v>0</v>
      </c>
      <c r="M119" s="155"/>
      <c r="N119" s="156"/>
      <c r="O119" s="157"/>
      <c r="P119" s="155"/>
      <c r="Q119" s="155" t="n">
        <f aca="false">R119+S119</f>
        <v>0</v>
      </c>
      <c r="R119" s="155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17"/>
      <c r="B120" s="73" t="s">
        <v>86</v>
      </c>
      <c r="C120" s="74" t="s">
        <v>33</v>
      </c>
      <c r="D120" s="74" t="s">
        <v>87</v>
      </c>
      <c r="E120" s="74" t="s">
        <v>88</v>
      </c>
      <c r="F120" s="20"/>
      <c r="G120" s="146" t="s">
        <v>22</v>
      </c>
      <c r="H120" s="169" t="n">
        <v>26</v>
      </c>
      <c r="I120" s="148" t="n">
        <v>17</v>
      </c>
      <c r="J120" s="148" t="n">
        <v>21</v>
      </c>
      <c r="K120" s="149" t="n">
        <v>22175.55</v>
      </c>
      <c r="L120" s="149" t="n">
        <f aca="false">M120+N120</f>
        <v>19998.93</v>
      </c>
      <c r="M120" s="149" t="n">
        <v>17200.17</v>
      </c>
      <c r="N120" s="190" t="n">
        <v>2798.76</v>
      </c>
      <c r="O120" s="151" t="n">
        <v>16</v>
      </c>
      <c r="P120" s="149" t="n">
        <v>24976.53</v>
      </c>
      <c r="Q120" s="149" t="n">
        <f aca="false">R120+S120</f>
        <v>17228.94</v>
      </c>
      <c r="R120" s="149" t="n">
        <v>12627.56</v>
      </c>
      <c r="S120" s="190" t="n">
        <v>4601.38</v>
      </c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73"/>
      <c r="C121" s="73"/>
      <c r="D121" s="73"/>
      <c r="E121" s="73"/>
      <c r="F121" s="42" t="s">
        <v>238</v>
      </c>
      <c r="G121" s="164" t="s">
        <v>23</v>
      </c>
      <c r="H121" s="171" t="n">
        <v>21</v>
      </c>
      <c r="I121" s="165" t="n">
        <v>11</v>
      </c>
      <c r="J121" s="165" t="n">
        <v>11</v>
      </c>
      <c r="K121" s="166" t="n">
        <v>10419.5</v>
      </c>
      <c r="L121" s="166" t="n">
        <v>6695.6</v>
      </c>
      <c r="M121" s="166" t="n">
        <v>6695.6</v>
      </c>
      <c r="N121" s="156"/>
      <c r="O121" s="168" t="n">
        <v>14</v>
      </c>
      <c r="P121" s="166" t="n">
        <v>28808.7</v>
      </c>
      <c r="Q121" s="166" t="n">
        <v>23522.7</v>
      </c>
      <c r="R121" s="166" t="n">
        <v>23522.7</v>
      </c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" hidden="false" customHeight="true" outlineLevel="0" collapsed="false">
      <c r="A122" s="17"/>
      <c r="B122" s="18" t="s">
        <v>89</v>
      </c>
      <c r="C122" s="19" t="s">
        <v>20</v>
      </c>
      <c r="D122" s="19" t="s">
        <v>90</v>
      </c>
      <c r="E122" s="19" t="s">
        <v>42</v>
      </c>
      <c r="F122" s="20"/>
      <c r="G122" s="146" t="s">
        <v>22</v>
      </c>
      <c r="H122" s="159" t="n">
        <v>23</v>
      </c>
      <c r="I122" s="148" t="n">
        <v>15</v>
      </c>
      <c r="J122" s="148" t="n">
        <v>19</v>
      </c>
      <c r="K122" s="149" t="n">
        <v>51882.6</v>
      </c>
      <c r="L122" s="149" t="n">
        <f aca="false">M122+N122</f>
        <v>41123.37</v>
      </c>
      <c r="M122" s="149" t="n">
        <v>17842.41</v>
      </c>
      <c r="N122" s="190" t="n">
        <v>23280.96</v>
      </c>
      <c r="O122" s="151" t="n">
        <v>19</v>
      </c>
      <c r="P122" s="149" t="n">
        <v>67670.88</v>
      </c>
      <c r="Q122" s="149" t="n">
        <f aca="false">R122+S122</f>
        <v>67667.88</v>
      </c>
      <c r="R122" s="149" t="n">
        <v>51532.2</v>
      </c>
      <c r="S122" s="190" t="n">
        <v>16135.68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 t="s">
        <v>239</v>
      </c>
      <c r="G123" s="152" t="s">
        <v>23</v>
      </c>
      <c r="H123" s="153"/>
      <c r="I123" s="154"/>
      <c r="J123" s="154"/>
      <c r="K123" s="155"/>
      <c r="L123" s="155" t="n">
        <f aca="false">M123+N123</f>
        <v>0</v>
      </c>
      <c r="M123" s="155"/>
      <c r="N123" s="156"/>
      <c r="O123" s="157"/>
      <c r="P123" s="155"/>
      <c r="Q123" s="155" t="n">
        <f aca="false">R123+S123</f>
        <v>0</v>
      </c>
      <c r="R123" s="155"/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33"/>
      <c r="B124" s="34" t="s">
        <v>91</v>
      </c>
      <c r="C124" s="35" t="s">
        <v>33</v>
      </c>
      <c r="D124" s="35" t="s">
        <v>92</v>
      </c>
      <c r="E124" s="35" t="s">
        <v>25</v>
      </c>
      <c r="F124" s="38" t="s">
        <v>239</v>
      </c>
      <c r="G124" s="146" t="s">
        <v>22</v>
      </c>
      <c r="H124" s="159" t="n">
        <v>29</v>
      </c>
      <c r="I124" s="160" t="n">
        <v>10</v>
      </c>
      <c r="J124" s="160" t="n">
        <v>11</v>
      </c>
      <c r="K124" s="161" t="n">
        <v>33631.02</v>
      </c>
      <c r="L124" s="161" t="n">
        <f aca="false">M124+N124</f>
        <v>23522.7</v>
      </c>
      <c r="M124" s="161" t="n">
        <v>4915.98</v>
      </c>
      <c r="N124" s="190" t="n">
        <v>18606.72</v>
      </c>
      <c r="O124" s="163" t="n">
        <v>16</v>
      </c>
      <c r="P124" s="161" t="n">
        <v>123375.91</v>
      </c>
      <c r="Q124" s="161" t="n">
        <f aca="false">R124+S124</f>
        <v>78950.02</v>
      </c>
      <c r="R124" s="161" t="n">
        <v>55873.9</v>
      </c>
      <c r="S124" s="190" t="n">
        <v>23076.12</v>
      </c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33"/>
      <c r="B125" s="34"/>
      <c r="C125" s="34"/>
      <c r="D125" s="34"/>
      <c r="E125" s="34"/>
      <c r="F125" s="89"/>
      <c r="G125" s="187" t="s">
        <v>23</v>
      </c>
      <c r="H125" s="169"/>
      <c r="I125" s="188"/>
      <c r="J125" s="188"/>
      <c r="K125" s="189"/>
      <c r="L125" s="189" t="n">
        <f aca="false">M125+N125</f>
        <v>0</v>
      </c>
      <c r="M125" s="189"/>
      <c r="N125" s="167"/>
      <c r="O125" s="191"/>
      <c r="P125" s="189"/>
      <c r="Q125" s="189" t="n">
        <f aca="false">R125+S125</f>
        <v>0</v>
      </c>
      <c r="R125" s="189"/>
      <c r="S125" s="167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187</v>
      </c>
      <c r="G126" s="164" t="s">
        <v>26</v>
      </c>
      <c r="H126" s="171" t="n">
        <v>5</v>
      </c>
      <c r="I126" s="165" t="n">
        <v>1</v>
      </c>
      <c r="J126" s="165" t="n">
        <v>2</v>
      </c>
      <c r="K126" s="166" t="n">
        <v>4193.56</v>
      </c>
      <c r="L126" s="166" t="n">
        <f aca="false">M126+N126</f>
        <v>4193.56</v>
      </c>
      <c r="M126" s="166" t="n">
        <f aca="false">2266.65+23.95+1902.96</f>
        <v>4193.56</v>
      </c>
      <c r="N126" s="156"/>
      <c r="O126" s="168" t="n">
        <v>10</v>
      </c>
      <c r="P126" s="166" t="n">
        <v>39891.68</v>
      </c>
      <c r="Q126" s="166" t="n">
        <f aca="false">R126+S126</f>
        <v>39891.68</v>
      </c>
      <c r="R126" s="166" t="n">
        <f aca="false">29167.43-47.9+23.95+10748.2</f>
        <v>39891.68</v>
      </c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17"/>
      <c r="B127" s="18" t="s">
        <v>93</v>
      </c>
      <c r="C127" s="19" t="s">
        <v>20</v>
      </c>
      <c r="D127" s="49"/>
      <c r="E127" s="19" t="s">
        <v>50</v>
      </c>
      <c r="F127" s="87"/>
      <c r="G127" s="146" t="s">
        <v>22</v>
      </c>
      <c r="H127" s="169" t="n">
        <v>7</v>
      </c>
      <c r="I127" s="148"/>
      <c r="J127" s="148"/>
      <c r="K127" s="149"/>
      <c r="L127" s="149" t="n">
        <f aca="false">M127+N127</f>
        <v>0</v>
      </c>
      <c r="M127" s="149"/>
      <c r="N127" s="190"/>
      <c r="O127" s="151"/>
      <c r="P127" s="149"/>
      <c r="Q127" s="149" t="n">
        <f aca="false">R127+S127</f>
        <v>0</v>
      </c>
      <c r="R127" s="149"/>
      <c r="S127" s="190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88" t="s">
        <v>188</v>
      </c>
      <c r="G128" s="152" t="s">
        <v>26</v>
      </c>
      <c r="H128" s="171" t="n">
        <v>6</v>
      </c>
      <c r="I128" s="154"/>
      <c r="J128" s="154"/>
      <c r="K128" s="155"/>
      <c r="L128" s="155" t="n">
        <f aca="false">M128+N128</f>
        <v>0</v>
      </c>
      <c r="M128" s="155"/>
      <c r="N128" s="156"/>
      <c r="O128" s="157"/>
      <c r="P128" s="155"/>
      <c r="Q128" s="155" t="n">
        <f aca="false">R128+S128</f>
        <v>0</v>
      </c>
      <c r="R128" s="155"/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" hidden="false" customHeight="true" outlineLevel="0" collapsed="false">
      <c r="A129" s="54"/>
      <c r="B129" s="55" t="s">
        <v>94</v>
      </c>
      <c r="C129" s="56" t="s">
        <v>20</v>
      </c>
      <c r="D129" s="56"/>
      <c r="E129" s="56" t="s">
        <v>52</v>
      </c>
      <c r="F129" s="36"/>
      <c r="G129" s="158" t="s">
        <v>22</v>
      </c>
      <c r="H129" s="159" t="n">
        <v>10</v>
      </c>
      <c r="I129" s="160" t="n">
        <v>6</v>
      </c>
      <c r="J129" s="160" t="n">
        <v>6</v>
      </c>
      <c r="K129" s="161" t="n">
        <v>5938.38</v>
      </c>
      <c r="L129" s="161" t="n">
        <f aca="false">M129+N129</f>
        <v>4891.75</v>
      </c>
      <c r="M129" s="161" t="n">
        <v>4891.75</v>
      </c>
      <c r="N129" s="190"/>
      <c r="O129" s="163" t="n">
        <v>8</v>
      </c>
      <c r="P129" s="161" t="n">
        <v>22293.04</v>
      </c>
      <c r="Q129" s="161" t="n">
        <f aca="false">R129+S129</f>
        <v>22293.04</v>
      </c>
      <c r="R129" s="161" t="n">
        <v>22293.04</v>
      </c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42" t="s">
        <v>189</v>
      </c>
      <c r="G130" s="164" t="s">
        <v>26</v>
      </c>
      <c r="H130" s="171" t="n">
        <v>10</v>
      </c>
      <c r="I130" s="154" t="n">
        <v>1</v>
      </c>
      <c r="J130" s="154" t="n">
        <v>1</v>
      </c>
      <c r="K130" s="155" t="n">
        <v>2446.8</v>
      </c>
      <c r="L130" s="155" t="n">
        <f aca="false">M130+N130</f>
        <v>1938.2</v>
      </c>
      <c r="M130" s="155" t="n">
        <f aca="false">1938.2</f>
        <v>1938.2</v>
      </c>
      <c r="N130" s="156"/>
      <c r="O130" s="157" t="n">
        <v>5</v>
      </c>
      <c r="P130" s="155" t="n">
        <v>9242.43</v>
      </c>
      <c r="Q130" s="155" t="n">
        <f aca="false">R130+S130</f>
        <v>9242.43</v>
      </c>
      <c r="R130" s="155" t="n">
        <f aca="false">1585.8+1585.8+6070.83</f>
        <v>9242.43</v>
      </c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.75" hidden="false" customHeight="true" outlineLevel="0" collapsed="false">
      <c r="A131" s="33"/>
      <c r="B131" s="34" t="s">
        <v>95</v>
      </c>
      <c r="C131" s="35" t="s">
        <v>33</v>
      </c>
      <c r="D131" s="35" t="s">
        <v>96</v>
      </c>
      <c r="E131" s="35" t="s">
        <v>88</v>
      </c>
      <c r="F131" s="22"/>
      <c r="G131" s="146" t="s">
        <v>22</v>
      </c>
      <c r="H131" s="159" t="n">
        <v>14</v>
      </c>
      <c r="I131" s="160" t="n">
        <v>8</v>
      </c>
      <c r="J131" s="192" t="n">
        <v>8</v>
      </c>
      <c r="K131" s="161" t="n">
        <v>11316.44</v>
      </c>
      <c r="L131" s="161" t="n">
        <f aca="false">M131+N131</f>
        <v>11316.44</v>
      </c>
      <c r="M131" s="161" t="n">
        <v>11316.44</v>
      </c>
      <c r="N131" s="190"/>
      <c r="O131" s="163" t="n">
        <v>2</v>
      </c>
      <c r="P131" s="161" t="n">
        <v>49549.93</v>
      </c>
      <c r="Q131" s="161" t="n">
        <f aca="false">R131+S131</f>
        <v>49549.93</v>
      </c>
      <c r="R131" s="161"/>
      <c r="S131" s="190" t="n">
        <v>49549.93</v>
      </c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 t="s">
        <v>240</v>
      </c>
      <c r="G132" s="164" t="s">
        <v>23</v>
      </c>
      <c r="H132" s="171" t="n">
        <v>7</v>
      </c>
      <c r="I132" s="165" t="n">
        <v>4</v>
      </c>
      <c r="J132" s="165" t="n">
        <v>4</v>
      </c>
      <c r="K132" s="166" t="n">
        <v>2114.4</v>
      </c>
      <c r="L132" s="166" t="n">
        <f aca="false">M132+N132</f>
        <v>2114.4</v>
      </c>
      <c r="M132" s="166" t="n">
        <v>2114.4</v>
      </c>
      <c r="N132" s="156"/>
      <c r="O132" s="168" t="n">
        <v>2</v>
      </c>
      <c r="P132" s="166" t="n">
        <v>4405</v>
      </c>
      <c r="Q132" s="166" t="n">
        <f aca="false">R132+S132</f>
        <v>4405</v>
      </c>
      <c r="R132" s="166" t="n">
        <v>4405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72"/>
      <c r="B133" s="73" t="s">
        <v>97</v>
      </c>
      <c r="C133" s="74" t="s">
        <v>20</v>
      </c>
      <c r="D133" s="74"/>
      <c r="E133" s="74" t="s">
        <v>98</v>
      </c>
      <c r="F133" s="20"/>
      <c r="G133" s="146" t="s">
        <v>22</v>
      </c>
      <c r="H133" s="159" t="n">
        <v>8</v>
      </c>
      <c r="I133" s="148" t="n">
        <v>7</v>
      </c>
      <c r="J133" s="148" t="n">
        <v>8</v>
      </c>
      <c r="K133" s="149" t="n">
        <v>16726.6</v>
      </c>
      <c r="L133" s="149" t="n">
        <f aca="false">M133+N133</f>
        <v>16726.6</v>
      </c>
      <c r="M133" s="149" t="n">
        <v>2223.64</v>
      </c>
      <c r="N133" s="190" t="n">
        <v>14502.96</v>
      </c>
      <c r="O133" s="151" t="n">
        <v>9</v>
      </c>
      <c r="P133" s="149" t="n">
        <v>43045.94</v>
      </c>
      <c r="Q133" s="149" t="n">
        <f aca="false">R133+S133</f>
        <v>39667.8</v>
      </c>
      <c r="R133" s="149" t="n">
        <v>19174.92</v>
      </c>
      <c r="S133" s="190" t="n">
        <v>20492.88</v>
      </c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72"/>
      <c r="B134" s="73"/>
      <c r="C134" s="73"/>
      <c r="D134" s="73"/>
      <c r="E134" s="73"/>
      <c r="F134" s="42" t="s">
        <v>241</v>
      </c>
      <c r="G134" s="164" t="s">
        <v>23</v>
      </c>
      <c r="H134" s="172" t="n">
        <v>19</v>
      </c>
      <c r="I134" s="165" t="n">
        <v>14</v>
      </c>
      <c r="J134" s="165" t="n">
        <v>14</v>
      </c>
      <c r="K134" s="166" t="n">
        <v>12510.2</v>
      </c>
      <c r="L134" s="166" t="n">
        <v>7929</v>
      </c>
      <c r="M134" s="166" t="n">
        <v>7929</v>
      </c>
      <c r="N134" s="156"/>
      <c r="O134" s="168" t="n">
        <v>11</v>
      </c>
      <c r="P134" s="166" t="n">
        <v>28192</v>
      </c>
      <c r="Q134" s="166" t="n">
        <v>19205.8</v>
      </c>
      <c r="R134" s="166" t="n">
        <v>19205.8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17"/>
      <c r="B135" s="18" t="s">
        <v>156</v>
      </c>
      <c r="C135" s="19"/>
      <c r="D135" s="19"/>
      <c r="E135" s="19"/>
      <c r="F135" s="20"/>
      <c r="G135" s="146" t="s">
        <v>22</v>
      </c>
      <c r="H135" s="173" t="n">
        <v>27</v>
      </c>
      <c r="I135" s="148" t="n">
        <v>18</v>
      </c>
      <c r="J135" s="148" t="n">
        <v>24</v>
      </c>
      <c r="K135" s="149" t="n">
        <v>68415.22</v>
      </c>
      <c r="L135" s="149" t="n">
        <f aca="false">M135+N135</f>
        <v>55268.48</v>
      </c>
      <c r="M135" s="149" t="n">
        <v>35830.76</v>
      </c>
      <c r="N135" s="190" t="n">
        <v>19437.72</v>
      </c>
      <c r="O135" s="151"/>
      <c r="P135" s="149"/>
      <c r="Q135" s="149" t="n">
        <f aca="false">R135+S135</f>
        <v>0</v>
      </c>
      <c r="R135" s="149"/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17"/>
      <c r="B136" s="18"/>
      <c r="C136" s="18"/>
      <c r="D136" s="18"/>
      <c r="E136" s="18"/>
      <c r="F136" s="89" t="s">
        <v>272</v>
      </c>
      <c r="G136" s="187" t="s">
        <v>26</v>
      </c>
      <c r="H136" s="172" t="n">
        <v>11</v>
      </c>
      <c r="I136" s="188" t="n">
        <v>6</v>
      </c>
      <c r="J136" s="188" t="n">
        <v>6</v>
      </c>
      <c r="K136" s="189" t="n">
        <v>6868.8</v>
      </c>
      <c r="L136" s="189" t="n">
        <f aca="false">M136+N136</f>
        <v>4581.2</v>
      </c>
      <c r="M136" s="189" t="n">
        <f aca="false">1233.4+3347.8</f>
        <v>4581.2</v>
      </c>
      <c r="N136" s="167"/>
      <c r="O136" s="191"/>
      <c r="P136" s="189"/>
      <c r="Q136" s="189" t="n">
        <f aca="false">R136+S136</f>
        <v>0</v>
      </c>
      <c r="R136" s="189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/>
      <c r="C137" s="18"/>
      <c r="D137" s="18"/>
      <c r="E137" s="18"/>
      <c r="F137" s="71"/>
      <c r="G137" s="164" t="s">
        <v>23</v>
      </c>
      <c r="H137" s="177"/>
      <c r="I137" s="165"/>
      <c r="J137" s="165"/>
      <c r="K137" s="166"/>
      <c r="L137" s="166" t="n">
        <f aca="false">M137+N137</f>
        <v>0</v>
      </c>
      <c r="M137" s="166"/>
      <c r="N137" s="156"/>
      <c r="O137" s="168"/>
      <c r="P137" s="166"/>
      <c r="Q137" s="166" t="n">
        <f aca="false">R137+S137</f>
        <v>0</v>
      </c>
      <c r="R137" s="166"/>
      <c r="S137" s="156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 t="s">
        <v>190</v>
      </c>
      <c r="C138" s="19"/>
      <c r="D138" s="19"/>
      <c r="E138" s="19"/>
      <c r="F138" s="20"/>
      <c r="G138" s="146" t="s">
        <v>22</v>
      </c>
      <c r="H138" s="173" t="n">
        <v>9</v>
      </c>
      <c r="I138" s="148"/>
      <c r="J138" s="148"/>
      <c r="K138" s="149"/>
      <c r="L138" s="149" t="n">
        <f aca="false">M138+N138</f>
        <v>0</v>
      </c>
      <c r="M138" s="149"/>
      <c r="N138" s="190"/>
      <c r="O138" s="151"/>
      <c r="P138" s="149"/>
      <c r="Q138" s="149" t="n">
        <f aca="false">R138+S138</f>
        <v>0</v>
      </c>
      <c r="R138" s="149"/>
      <c r="S138" s="190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26" t="s">
        <v>242</v>
      </c>
      <c r="G139" s="152" t="s">
        <v>23</v>
      </c>
      <c r="H139" s="174" t="n">
        <v>2</v>
      </c>
      <c r="I139" s="154"/>
      <c r="J139" s="154"/>
      <c r="K139" s="155"/>
      <c r="L139" s="155" t="n">
        <f aca="false">M139+N139</f>
        <v>0</v>
      </c>
      <c r="M139" s="155"/>
      <c r="N139" s="156"/>
      <c r="O139" s="157"/>
      <c r="P139" s="155"/>
      <c r="Q139" s="155" t="n">
        <f aca="false">R139+S139</f>
        <v>0</v>
      </c>
      <c r="R139" s="155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54"/>
      <c r="B140" s="55" t="s">
        <v>99</v>
      </c>
      <c r="C140" s="56" t="s">
        <v>33</v>
      </c>
      <c r="D140" s="56" t="s">
        <v>100</v>
      </c>
      <c r="E140" s="56" t="s">
        <v>101</v>
      </c>
      <c r="F140" s="36"/>
      <c r="G140" s="158" t="s">
        <v>22</v>
      </c>
      <c r="H140" s="159" t="n">
        <v>25</v>
      </c>
      <c r="I140" s="160" t="n">
        <v>17</v>
      </c>
      <c r="J140" s="160" t="n">
        <v>17</v>
      </c>
      <c r="K140" s="161" t="n">
        <v>5109.8</v>
      </c>
      <c r="L140" s="161" t="n">
        <f aca="false">M140+N140</f>
        <v>4757.4</v>
      </c>
      <c r="M140" s="161" t="n">
        <v>4757.4</v>
      </c>
      <c r="N140" s="190"/>
      <c r="O140" s="163" t="n">
        <v>23</v>
      </c>
      <c r="P140" s="161" t="n">
        <v>41618.89</v>
      </c>
      <c r="Q140" s="161" t="n">
        <f aca="false">R140+S140</f>
        <v>38323.95</v>
      </c>
      <c r="R140" s="161" t="n">
        <v>38323.95</v>
      </c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54"/>
      <c r="B141" s="55"/>
      <c r="C141" s="55"/>
      <c r="D141" s="55"/>
      <c r="E141" s="55"/>
      <c r="F141" s="80" t="s">
        <v>191</v>
      </c>
      <c r="G141" s="180" t="s">
        <v>26</v>
      </c>
      <c r="H141" s="169" t="n">
        <v>10</v>
      </c>
      <c r="I141" s="181" t="n">
        <v>5</v>
      </c>
      <c r="J141" s="181" t="n">
        <v>5</v>
      </c>
      <c r="K141" s="182" t="n">
        <v>4228.8</v>
      </c>
      <c r="L141" s="182" t="n">
        <f aca="false">M141+N141</f>
        <v>2643</v>
      </c>
      <c r="M141" s="182" t="n">
        <f aca="false">2643</f>
        <v>2643</v>
      </c>
      <c r="N141" s="167"/>
      <c r="O141" s="184" t="n">
        <v>3</v>
      </c>
      <c r="P141" s="182" t="n">
        <v>6607.5</v>
      </c>
      <c r="Q141" s="161" t="n">
        <f aca="false">R141+S141</f>
        <v>6607.5</v>
      </c>
      <c r="R141" s="182" t="n">
        <f aca="false">1673.9+3700.2+1233.4</f>
        <v>6607.5</v>
      </c>
      <c r="S141" s="167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/>
      <c r="C142" s="55"/>
      <c r="D142" s="55"/>
      <c r="E142" s="55"/>
      <c r="F142" s="42"/>
      <c r="G142" s="164" t="s">
        <v>23</v>
      </c>
      <c r="H142" s="175"/>
      <c r="I142" s="165"/>
      <c r="J142" s="165"/>
      <c r="K142" s="166"/>
      <c r="L142" s="166" t="n">
        <f aca="false">M142+N142</f>
        <v>0</v>
      </c>
      <c r="M142" s="166"/>
      <c r="N142" s="156"/>
      <c r="O142" s="168"/>
      <c r="P142" s="166"/>
      <c r="Q142" s="166" t="n">
        <f aca="false">R142+S142</f>
        <v>0</v>
      </c>
      <c r="R142" s="166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17"/>
      <c r="B143" s="18" t="s">
        <v>224</v>
      </c>
      <c r="C143" s="19"/>
      <c r="D143" s="19"/>
      <c r="E143" s="19"/>
      <c r="F143" s="20"/>
      <c r="G143" s="146" t="s">
        <v>22</v>
      </c>
      <c r="H143" s="147" t="n">
        <v>5</v>
      </c>
      <c r="I143" s="148" t="n">
        <v>4</v>
      </c>
      <c r="J143" s="148" t="n">
        <v>5</v>
      </c>
      <c r="K143" s="149" t="n">
        <v>4673.26</v>
      </c>
      <c r="L143" s="149" t="n">
        <f aca="false">M143+N143</f>
        <v>4673.26</v>
      </c>
      <c r="M143" s="149" t="n">
        <v>3968.46</v>
      </c>
      <c r="N143" s="190" t="n">
        <v>704.8</v>
      </c>
      <c r="O143" s="151"/>
      <c r="P143" s="149"/>
      <c r="Q143" s="149" t="n">
        <f aca="false">R143+S143</f>
        <v>0</v>
      </c>
      <c r="R143" s="149"/>
      <c r="S143" s="190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17"/>
      <c r="B144" s="18"/>
      <c r="C144" s="18"/>
      <c r="D144" s="18"/>
      <c r="E144" s="18"/>
      <c r="F144" s="26" t="s">
        <v>273</v>
      </c>
      <c r="G144" s="152" t="s">
        <v>26</v>
      </c>
      <c r="H144" s="176" t="n">
        <v>6</v>
      </c>
      <c r="I144" s="154"/>
      <c r="J144" s="154"/>
      <c r="K144" s="155"/>
      <c r="L144" s="155" t="n">
        <f aca="false">M144+N144</f>
        <v>0</v>
      </c>
      <c r="M144" s="155"/>
      <c r="N144" s="156"/>
      <c r="O144" s="157"/>
      <c r="P144" s="155"/>
      <c r="Q144" s="155" t="n">
        <f aca="false">R144+S144</f>
        <v>0</v>
      </c>
      <c r="R144" s="155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33"/>
      <c r="B145" s="34" t="s">
        <v>102</v>
      </c>
      <c r="C145" s="35" t="s">
        <v>20</v>
      </c>
      <c r="D145" s="35"/>
      <c r="E145" s="35" t="s">
        <v>25</v>
      </c>
      <c r="F145" s="36"/>
      <c r="G145" s="158" t="s">
        <v>22</v>
      </c>
      <c r="H145" s="169" t="n">
        <v>18</v>
      </c>
      <c r="I145" s="160" t="n">
        <v>16</v>
      </c>
      <c r="J145" s="160" t="n">
        <v>16</v>
      </c>
      <c r="K145" s="161" t="n">
        <v>17960.86</v>
      </c>
      <c r="L145" s="161" t="n">
        <f aca="false">M145+N145</f>
        <v>17408.56</v>
      </c>
      <c r="M145" s="161" t="n">
        <v>14377.92</v>
      </c>
      <c r="N145" s="190" t="n">
        <v>3030.64</v>
      </c>
      <c r="O145" s="163" t="n">
        <v>8</v>
      </c>
      <c r="P145" s="161" t="n">
        <v>30446.34</v>
      </c>
      <c r="Q145" s="161" t="n">
        <f aca="false">R145+S145</f>
        <v>27296.38</v>
      </c>
      <c r="R145" s="161" t="n">
        <v>20530.3</v>
      </c>
      <c r="S145" s="190" t="n">
        <v>6766.08</v>
      </c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33"/>
      <c r="B146" s="34"/>
      <c r="C146" s="34"/>
      <c r="D146" s="34"/>
      <c r="E146" s="34"/>
      <c r="F146" s="42" t="s">
        <v>192</v>
      </c>
      <c r="G146" s="164" t="s">
        <v>26</v>
      </c>
      <c r="H146" s="153" t="n">
        <v>5</v>
      </c>
      <c r="I146" s="165" t="n">
        <v>2</v>
      </c>
      <c r="J146" s="165" t="n">
        <v>2</v>
      </c>
      <c r="K146" s="166" t="n">
        <v>7400.4</v>
      </c>
      <c r="L146" s="166" t="n">
        <f aca="false">M146+N146</f>
        <v>3700.2</v>
      </c>
      <c r="M146" s="166" t="n">
        <f aca="false">3700.2</f>
        <v>3700.2</v>
      </c>
      <c r="N146" s="156"/>
      <c r="O146" s="168" t="n">
        <v>6</v>
      </c>
      <c r="P146" s="166" t="n">
        <v>8105.2</v>
      </c>
      <c r="Q146" s="166" t="n">
        <f aca="false">R146+S146</f>
        <v>8105.2</v>
      </c>
      <c r="R146" s="166" t="n">
        <f aca="false">6519.4+1585.8</f>
        <v>8105.2</v>
      </c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" hidden="false" customHeight="true" outlineLevel="0" collapsed="false">
      <c r="A147" s="17"/>
      <c r="B147" s="18" t="s">
        <v>103</v>
      </c>
      <c r="C147" s="19" t="s">
        <v>20</v>
      </c>
      <c r="D147" s="19"/>
      <c r="E147" s="19" t="s">
        <v>52</v>
      </c>
      <c r="F147" s="20"/>
      <c r="G147" s="146" t="s">
        <v>22</v>
      </c>
      <c r="H147" s="169" t="n">
        <v>3</v>
      </c>
      <c r="I147" s="148" t="n">
        <v>2</v>
      </c>
      <c r="J147" s="148" t="n">
        <v>3</v>
      </c>
      <c r="K147" s="149" t="n">
        <v>8028.11</v>
      </c>
      <c r="L147" s="149" t="n">
        <f aca="false">M147+N147</f>
        <v>8028.11</v>
      </c>
      <c r="M147" s="149" t="n">
        <v>8028.11</v>
      </c>
      <c r="N147" s="190"/>
      <c r="O147" s="151" t="n">
        <v>11</v>
      </c>
      <c r="P147" s="149" t="n">
        <v>78508.52</v>
      </c>
      <c r="Q147" s="149" t="n">
        <f aca="false">R147+S147</f>
        <v>70386.17</v>
      </c>
      <c r="R147" s="149" t="n">
        <v>70386.17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17"/>
      <c r="B148" s="18"/>
      <c r="C148" s="18"/>
      <c r="D148" s="18"/>
      <c r="E148" s="18"/>
      <c r="F148" s="42" t="s">
        <v>193</v>
      </c>
      <c r="G148" s="164" t="s">
        <v>26</v>
      </c>
      <c r="H148" s="172" t="n">
        <v>10</v>
      </c>
      <c r="I148" s="165" t="n">
        <v>1</v>
      </c>
      <c r="J148" s="165" t="n">
        <v>1</v>
      </c>
      <c r="K148" s="166" t="n">
        <v>704.8</v>
      </c>
      <c r="L148" s="166" t="n">
        <f aca="false">M148+N148</f>
        <v>2466.8</v>
      </c>
      <c r="M148" s="166" t="n">
        <f aca="false">2466.8</f>
        <v>2466.8</v>
      </c>
      <c r="N148" s="167"/>
      <c r="O148" s="168" t="n">
        <v>7</v>
      </c>
      <c r="P148" s="166" t="n">
        <v>10925</v>
      </c>
      <c r="Q148" s="166" t="n">
        <f aca="false">R148+S148</f>
        <v>9867.04</v>
      </c>
      <c r="R148" s="166" t="n">
        <f aca="false">2290.6+528.6+7047.84</f>
        <v>9867.04</v>
      </c>
      <c r="S148" s="167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294</v>
      </c>
      <c r="C149" s="19"/>
      <c r="D149" s="19"/>
      <c r="E149" s="19"/>
      <c r="F149" s="22"/>
      <c r="G149" s="146" t="s">
        <v>22</v>
      </c>
      <c r="H149" s="147"/>
      <c r="I149" s="148"/>
      <c r="J149" s="148"/>
      <c r="K149" s="149"/>
      <c r="L149" s="149" t="n">
        <f aca="false">M149+N149</f>
        <v>0</v>
      </c>
      <c r="M149" s="149"/>
      <c r="N149" s="224"/>
      <c r="O149" s="151"/>
      <c r="P149" s="149"/>
      <c r="Q149" s="149" t="n">
        <f aca="false">R149+S149</f>
        <v>0</v>
      </c>
      <c r="R149" s="149"/>
      <c r="S149" s="15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" hidden="false" customHeight="false" outlineLevel="0" collapsed="false">
      <c r="A150" s="17"/>
      <c r="B150" s="18"/>
      <c r="C150" s="18"/>
      <c r="D150" s="18"/>
      <c r="E150" s="18"/>
      <c r="F150" s="26"/>
      <c r="G150" s="152" t="s">
        <v>26</v>
      </c>
      <c r="H150" s="176" t="n">
        <v>1</v>
      </c>
      <c r="I150" s="154"/>
      <c r="J150" s="154"/>
      <c r="K150" s="155"/>
      <c r="L150" s="155" t="n">
        <f aca="false">M150+N150</f>
        <v>0</v>
      </c>
      <c r="M150" s="155"/>
      <c r="N150" s="22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54"/>
      <c r="B151" s="55" t="s">
        <v>104</v>
      </c>
      <c r="C151" s="56" t="s">
        <v>20</v>
      </c>
      <c r="D151" s="56"/>
      <c r="E151" s="56" t="s">
        <v>25</v>
      </c>
      <c r="F151" s="38"/>
      <c r="G151" s="158" t="s">
        <v>22</v>
      </c>
      <c r="H151" s="169"/>
      <c r="I151" s="160"/>
      <c r="J151" s="160"/>
      <c r="K151" s="161"/>
      <c r="L151" s="161" t="n">
        <f aca="false">M151+N151</f>
        <v>0</v>
      </c>
      <c r="M151" s="161"/>
      <c r="N151" s="190"/>
      <c r="O151" s="163" t="n">
        <v>2</v>
      </c>
      <c r="P151" s="161" t="n">
        <v>20088.08</v>
      </c>
      <c r="Q151" s="161" t="n">
        <f aca="false">R151+S151</f>
        <v>20088.08</v>
      </c>
      <c r="R151" s="161" t="n">
        <v>20088.08</v>
      </c>
      <c r="S151" s="19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.75" hidden="false" customHeight="true" outlineLevel="0" collapsed="false">
      <c r="A152" s="54"/>
      <c r="B152" s="55"/>
      <c r="C152" s="55"/>
      <c r="D152" s="55"/>
      <c r="E152" s="55"/>
      <c r="F152" s="26" t="s">
        <v>281</v>
      </c>
      <c r="G152" s="152" t="s">
        <v>26</v>
      </c>
      <c r="H152" s="153" t="n">
        <v>3</v>
      </c>
      <c r="I152" s="154"/>
      <c r="J152" s="154"/>
      <c r="K152" s="155"/>
      <c r="L152" s="155" t="n">
        <f aca="false">M152+N152</f>
        <v>0</v>
      </c>
      <c r="M152" s="155"/>
      <c r="N152" s="15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.75" hidden="false" customHeight="true" outlineLevel="0" collapsed="false">
      <c r="A153" s="33"/>
      <c r="B153" s="34" t="s">
        <v>105</v>
      </c>
      <c r="C153" s="35" t="s">
        <v>33</v>
      </c>
      <c r="D153" s="35" t="s">
        <v>106</v>
      </c>
      <c r="E153" s="35" t="s">
        <v>107</v>
      </c>
      <c r="F153" s="36"/>
      <c r="G153" s="146" t="s">
        <v>22</v>
      </c>
      <c r="H153" s="169" t="n">
        <v>8</v>
      </c>
      <c r="I153" s="160" t="n">
        <v>1</v>
      </c>
      <c r="J153" s="160" t="n">
        <v>1</v>
      </c>
      <c r="K153" s="161" t="n">
        <v>352.4</v>
      </c>
      <c r="L153" s="161" t="n">
        <f aca="false">M153+N153</f>
        <v>352.4</v>
      </c>
      <c r="M153" s="161"/>
      <c r="N153" s="190" t="n">
        <v>352.4</v>
      </c>
      <c r="O153" s="163" t="n">
        <v>10</v>
      </c>
      <c r="P153" s="161" t="n">
        <v>45624.44</v>
      </c>
      <c r="Q153" s="161" t="n">
        <f aca="false">R153+S153</f>
        <v>45624.44</v>
      </c>
      <c r="R153" s="161" t="n">
        <v>18435.62</v>
      </c>
      <c r="S153" s="190" t="n">
        <v>27188.82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33"/>
      <c r="B154" s="34"/>
      <c r="C154" s="34"/>
      <c r="D154" s="34"/>
      <c r="E154" s="34"/>
      <c r="F154" s="42" t="s">
        <v>194</v>
      </c>
      <c r="G154" s="164" t="s">
        <v>26</v>
      </c>
      <c r="H154" s="153" t="n">
        <v>2</v>
      </c>
      <c r="I154" s="165"/>
      <c r="J154" s="165"/>
      <c r="K154" s="166"/>
      <c r="L154" s="161" t="n">
        <f aca="false">M154+N154</f>
        <v>0</v>
      </c>
      <c r="M154" s="166" t="n">
        <v>0</v>
      </c>
      <c r="N154" s="156"/>
      <c r="O154" s="168" t="n">
        <v>7</v>
      </c>
      <c r="P154" s="166" t="n">
        <v>23645.16</v>
      </c>
      <c r="Q154" s="166" t="n">
        <f aca="false">R154+S154</f>
        <v>16536.3</v>
      </c>
      <c r="R154" s="166" t="n">
        <f aca="false">4801.4+881+10853.9</f>
        <v>16536.3</v>
      </c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72"/>
      <c r="B155" s="73" t="s">
        <v>108</v>
      </c>
      <c r="C155" s="74" t="s">
        <v>33</v>
      </c>
      <c r="D155" s="74" t="s">
        <v>109</v>
      </c>
      <c r="E155" s="74" t="s">
        <v>25</v>
      </c>
      <c r="F155" s="20"/>
      <c r="G155" s="146" t="s">
        <v>22</v>
      </c>
      <c r="H155" s="159" t="n">
        <v>11</v>
      </c>
      <c r="I155" s="148" t="n">
        <v>10</v>
      </c>
      <c r="J155" s="148" t="n">
        <v>11</v>
      </c>
      <c r="K155" s="149" t="n">
        <v>21918.02</v>
      </c>
      <c r="L155" s="149" t="n">
        <f aca="false">M155+N155</f>
        <v>11519.11</v>
      </c>
      <c r="M155" s="149" t="n">
        <v>11519.11</v>
      </c>
      <c r="N155" s="190"/>
      <c r="O155" s="151" t="n">
        <v>22</v>
      </c>
      <c r="P155" s="149" t="n">
        <v>54823.91</v>
      </c>
      <c r="Q155" s="149" t="n">
        <f aca="false">R155+S155</f>
        <v>37928.86</v>
      </c>
      <c r="R155" s="149" t="n">
        <v>37928.86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72"/>
      <c r="B156" s="73"/>
      <c r="C156" s="73"/>
      <c r="D156" s="73"/>
      <c r="E156" s="73"/>
      <c r="F156" s="42" t="s">
        <v>195</v>
      </c>
      <c r="G156" s="164" t="s">
        <v>26</v>
      </c>
      <c r="H156" s="171" t="n">
        <v>9</v>
      </c>
      <c r="I156" s="165" t="n">
        <v>7</v>
      </c>
      <c r="J156" s="165" t="n">
        <v>7</v>
      </c>
      <c r="K156" s="166" t="n">
        <v>25240.98</v>
      </c>
      <c r="L156" s="166" t="n">
        <f aca="false">M156+N156</f>
        <v>14448.4</v>
      </c>
      <c r="M156" s="166" t="n">
        <f aca="false">6942.28+7506.12</f>
        <v>14448.4</v>
      </c>
      <c r="N156" s="156"/>
      <c r="O156" s="157" t="n">
        <v>13</v>
      </c>
      <c r="P156" s="155" t="n">
        <v>32508.9</v>
      </c>
      <c r="Q156" s="155" t="n">
        <f aca="false">R156+S156</f>
        <v>38112.06</v>
      </c>
      <c r="R156" s="155" t="n">
        <f aca="false">15329.4+14888.9+7893.76</f>
        <v>38112.06</v>
      </c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17"/>
      <c r="B157" s="18" t="s">
        <v>110</v>
      </c>
      <c r="C157" s="19" t="s">
        <v>33</v>
      </c>
      <c r="D157" s="19" t="s">
        <v>111</v>
      </c>
      <c r="E157" s="19" t="s">
        <v>25</v>
      </c>
      <c r="F157" s="20"/>
      <c r="G157" s="146" t="s">
        <v>22</v>
      </c>
      <c r="H157" s="159" t="n">
        <v>28</v>
      </c>
      <c r="I157" s="148" t="n">
        <v>21</v>
      </c>
      <c r="J157" s="193" t="n">
        <v>24</v>
      </c>
      <c r="K157" s="149" t="n">
        <v>25113.93</v>
      </c>
      <c r="L157" s="149" t="n">
        <f aca="false">M157+N157</f>
        <v>19498.3</v>
      </c>
      <c r="M157" s="149" t="n">
        <v>16881.73</v>
      </c>
      <c r="N157" s="190" t="n">
        <v>2616.57</v>
      </c>
      <c r="O157" s="163" t="n">
        <v>17</v>
      </c>
      <c r="P157" s="161" t="n">
        <v>61614.34</v>
      </c>
      <c r="Q157" s="161" t="n">
        <f aca="false">R157+S157</f>
        <v>50536.47</v>
      </c>
      <c r="R157" s="161" t="n">
        <v>50536.47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17"/>
      <c r="B158" s="18"/>
      <c r="C158" s="18"/>
      <c r="D158" s="18"/>
      <c r="E158" s="18"/>
      <c r="F158" s="42" t="s">
        <v>196</v>
      </c>
      <c r="G158" s="164" t="s">
        <v>26</v>
      </c>
      <c r="H158" s="175" t="n">
        <v>4</v>
      </c>
      <c r="I158" s="165" t="n">
        <v>4</v>
      </c>
      <c r="J158" s="165" t="n">
        <v>3</v>
      </c>
      <c r="K158" s="166" t="n">
        <v>10296.2</v>
      </c>
      <c r="L158" s="166" t="n">
        <f aca="false">M158+N158</f>
        <v>0</v>
      </c>
      <c r="M158" s="166"/>
      <c r="N158" s="167"/>
      <c r="O158" s="168" t="n">
        <v>1</v>
      </c>
      <c r="P158" s="166"/>
      <c r="Q158" s="166" t="n">
        <f aca="false">R158+S158</f>
        <v>0</v>
      </c>
      <c r="R158" s="166"/>
      <c r="S158" s="167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240" t="s">
        <v>282</v>
      </c>
      <c r="C159" s="19" t="s">
        <v>33</v>
      </c>
      <c r="D159" s="19" t="s">
        <v>283</v>
      </c>
      <c r="E159" s="19" t="s">
        <v>284</v>
      </c>
      <c r="F159" s="20"/>
      <c r="G159" s="146" t="s">
        <v>22</v>
      </c>
      <c r="H159" s="173"/>
      <c r="I159" s="148"/>
      <c r="J159" s="148"/>
      <c r="K159" s="241"/>
      <c r="L159" s="241" t="n">
        <f aca="false">M159+N159</f>
        <v>0</v>
      </c>
      <c r="M159" s="241"/>
      <c r="N159" s="150"/>
      <c r="O159" s="206"/>
      <c r="P159" s="149"/>
      <c r="Q159" s="149" t="n">
        <f aca="false">R159+S159</f>
        <v>0</v>
      </c>
      <c r="R159" s="149"/>
      <c r="S159" s="15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240"/>
      <c r="C160" s="19"/>
      <c r="D160" s="19"/>
      <c r="E160" s="19"/>
      <c r="F160" s="26" t="s">
        <v>285</v>
      </c>
      <c r="G160" s="152" t="s">
        <v>23</v>
      </c>
      <c r="H160" s="174" t="n">
        <v>6</v>
      </c>
      <c r="I160" s="154"/>
      <c r="J160" s="154"/>
      <c r="K160" s="242"/>
      <c r="L160" s="242" t="n">
        <f aca="false">M160+N160</f>
        <v>0</v>
      </c>
      <c r="M160" s="242"/>
      <c r="N160" s="156"/>
      <c r="O160" s="209"/>
      <c r="P160" s="155"/>
      <c r="Q160" s="155" t="n">
        <f aca="false">R160+S160</f>
        <v>0</v>
      </c>
      <c r="R160" s="155"/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33"/>
      <c r="B161" s="34" t="s">
        <v>112</v>
      </c>
      <c r="C161" s="35" t="s">
        <v>20</v>
      </c>
      <c r="D161" s="35" t="s">
        <v>197</v>
      </c>
      <c r="E161" s="35" t="s">
        <v>25</v>
      </c>
      <c r="F161" s="36"/>
      <c r="G161" s="158" t="s">
        <v>22</v>
      </c>
      <c r="H161" s="159" t="n">
        <v>21</v>
      </c>
      <c r="I161" s="160" t="n">
        <v>20</v>
      </c>
      <c r="J161" s="160" t="n">
        <v>27</v>
      </c>
      <c r="K161" s="140" t="n">
        <v>70730.43</v>
      </c>
      <c r="L161" s="140" t="n">
        <f aca="false">M161+N161</f>
        <v>56817.22</v>
      </c>
      <c r="M161" s="140" t="n">
        <v>23292.74</v>
      </c>
      <c r="N161" s="190" t="n">
        <v>33524.48</v>
      </c>
      <c r="O161" s="163" t="n">
        <v>6</v>
      </c>
      <c r="P161" s="161" t="n">
        <v>25423.03</v>
      </c>
      <c r="Q161" s="161" t="n">
        <f aca="false">R161+S161</f>
        <v>25423.03</v>
      </c>
      <c r="R161" s="161" t="n">
        <v>20244.62</v>
      </c>
      <c r="S161" s="190" t="n">
        <v>5178.41</v>
      </c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26" t="s">
        <v>198</v>
      </c>
      <c r="G162" s="152" t="s">
        <v>26</v>
      </c>
      <c r="H162" s="171" t="n">
        <v>3</v>
      </c>
      <c r="I162" s="165" t="n">
        <v>1</v>
      </c>
      <c r="J162" s="165" t="n">
        <v>1</v>
      </c>
      <c r="K162" s="166" t="n">
        <v>1762</v>
      </c>
      <c r="L162" s="166" t="n">
        <f aca="false">M162+N162</f>
        <v>1321.5</v>
      </c>
      <c r="M162" s="166" t="n">
        <f aca="false">1321.5</f>
        <v>1321.5</v>
      </c>
      <c r="N162" s="156"/>
      <c r="O162" s="168" t="n">
        <v>2</v>
      </c>
      <c r="P162" s="166" t="n">
        <v>2114.4</v>
      </c>
      <c r="Q162" s="166" t="n">
        <f aca="false">R162+S162</f>
        <v>2114.4</v>
      </c>
      <c r="R162" s="166" t="n">
        <f aca="false">2114.4</f>
        <v>2114.4</v>
      </c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" hidden="false" customHeight="true" outlineLevel="0" collapsed="false">
      <c r="A163" s="17"/>
      <c r="B163" s="18" t="s">
        <v>113</v>
      </c>
      <c r="C163" s="19" t="s">
        <v>20</v>
      </c>
      <c r="D163" s="19"/>
      <c r="E163" s="19" t="s">
        <v>31</v>
      </c>
      <c r="F163" s="36"/>
      <c r="G163" s="146" t="s">
        <v>22</v>
      </c>
      <c r="H163" s="159" t="n">
        <v>15</v>
      </c>
      <c r="I163" s="148" t="n">
        <v>9</v>
      </c>
      <c r="J163" s="148" t="n">
        <v>12</v>
      </c>
      <c r="K163" s="149" t="n">
        <v>25824.49</v>
      </c>
      <c r="L163" s="149" t="n">
        <f aca="false">M163+N163</f>
        <v>25824.49</v>
      </c>
      <c r="M163" s="149" t="n">
        <v>14995.78</v>
      </c>
      <c r="N163" s="190" t="n">
        <v>10828.71</v>
      </c>
      <c r="O163" s="151" t="n">
        <v>8</v>
      </c>
      <c r="P163" s="149" t="n">
        <v>18834.43</v>
      </c>
      <c r="Q163" s="149" t="n">
        <f aca="false">R163+S163</f>
        <v>18834.43</v>
      </c>
      <c r="R163" s="149" t="n">
        <v>18834.43</v>
      </c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57"/>
      <c r="G164" s="152" t="s">
        <v>26</v>
      </c>
      <c r="H164" s="153"/>
      <c r="I164" s="154"/>
      <c r="J164" s="154"/>
      <c r="K164" s="155"/>
      <c r="L164" s="155" t="n">
        <f aca="false">M164+N164</f>
        <v>0</v>
      </c>
      <c r="M164" s="155"/>
      <c r="N164" s="156"/>
      <c r="O164" s="157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33"/>
      <c r="B165" s="34" t="s">
        <v>114</v>
      </c>
      <c r="C165" s="35" t="s">
        <v>20</v>
      </c>
      <c r="D165" s="95"/>
      <c r="E165" s="35" t="s">
        <v>25</v>
      </c>
      <c r="F165" s="71"/>
      <c r="G165" s="146" t="s">
        <v>22</v>
      </c>
      <c r="H165" s="169" t="n">
        <v>2</v>
      </c>
      <c r="I165" s="160"/>
      <c r="J165" s="160"/>
      <c r="K165" s="161"/>
      <c r="L165" s="161" t="n">
        <f aca="false">M165+N165</f>
        <v>0</v>
      </c>
      <c r="M165" s="161"/>
      <c r="N165" s="190"/>
      <c r="O165" s="163" t="n">
        <v>3</v>
      </c>
      <c r="P165" s="161" t="n">
        <v>4574.09</v>
      </c>
      <c r="Q165" s="161" t="n">
        <f aca="false">R165+S165</f>
        <v>0</v>
      </c>
      <c r="R165" s="161"/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 t="s">
        <v>274</v>
      </c>
      <c r="G166" s="164" t="s">
        <v>26</v>
      </c>
      <c r="H166" s="175" t="n">
        <v>5</v>
      </c>
      <c r="I166" s="165" t="n">
        <v>4</v>
      </c>
      <c r="J166" s="165" t="n">
        <v>4</v>
      </c>
      <c r="K166" s="166" t="n">
        <v>5044.32</v>
      </c>
      <c r="L166" s="166" t="n">
        <f aca="false">M166+N166</f>
        <v>1127.68</v>
      </c>
      <c r="M166" s="166" t="n">
        <f aca="false">1127.68</f>
        <v>1127.68</v>
      </c>
      <c r="N166" s="156"/>
      <c r="O166" s="168"/>
      <c r="P166" s="166"/>
      <c r="Q166" s="166" t="n">
        <f aca="false">R166+S166</f>
        <v>0</v>
      </c>
      <c r="R166" s="166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17"/>
      <c r="B167" s="18" t="s">
        <v>243</v>
      </c>
      <c r="C167" s="219"/>
      <c r="D167" s="19"/>
      <c r="E167" s="19"/>
      <c r="F167" s="20"/>
      <c r="G167" s="146" t="s">
        <v>22</v>
      </c>
      <c r="H167" s="173" t="n">
        <v>4</v>
      </c>
      <c r="I167" s="148" t="n">
        <v>3</v>
      </c>
      <c r="J167" s="148" t="n">
        <v>3</v>
      </c>
      <c r="K167" s="149" t="n">
        <v>4326.59</v>
      </c>
      <c r="L167" s="149" t="n">
        <f aca="false">M167+N167</f>
        <v>4062.29</v>
      </c>
      <c r="M167" s="149" t="n">
        <v>4062.29</v>
      </c>
      <c r="N167" s="190"/>
      <c r="O167" s="206"/>
      <c r="P167" s="149"/>
      <c r="Q167" s="149" t="n">
        <f aca="false">R167+S167</f>
        <v>0</v>
      </c>
      <c r="R167" s="149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 t="s">
        <v>275</v>
      </c>
      <c r="G168" s="152" t="s">
        <v>26</v>
      </c>
      <c r="H168" s="174" t="n">
        <v>6</v>
      </c>
      <c r="I168" s="154" t="n">
        <v>2</v>
      </c>
      <c r="J168" s="154" t="n">
        <v>2</v>
      </c>
      <c r="K168" s="155" t="n">
        <v>2114.4</v>
      </c>
      <c r="L168" s="155" t="n">
        <f aca="false">M168+N168</f>
        <v>3476.14</v>
      </c>
      <c r="M168" s="155" t="n">
        <f aca="false">3476.14</f>
        <v>3476.14</v>
      </c>
      <c r="N168" s="156"/>
      <c r="O168" s="209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54"/>
      <c r="B169" s="55" t="s">
        <v>200</v>
      </c>
      <c r="C169" s="220"/>
      <c r="D169" s="56"/>
      <c r="E169" s="56"/>
      <c r="F169" s="36"/>
      <c r="G169" s="158" t="s">
        <v>22</v>
      </c>
      <c r="H169" s="159" t="n">
        <v>25</v>
      </c>
      <c r="I169" s="160" t="n">
        <v>24</v>
      </c>
      <c r="J169" s="160" t="n">
        <v>26</v>
      </c>
      <c r="K169" s="161" t="n">
        <v>38842.39</v>
      </c>
      <c r="L169" s="161" t="n">
        <f aca="false">M169+N169</f>
        <v>22458.11</v>
      </c>
      <c r="M169" s="161" t="n">
        <v>14018.13</v>
      </c>
      <c r="N169" s="190" t="n">
        <v>8439.98</v>
      </c>
      <c r="O169" s="163"/>
      <c r="P169" s="161"/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54"/>
      <c r="B170" s="55"/>
      <c r="C170" s="55"/>
      <c r="D170" s="55"/>
      <c r="E170" s="55"/>
      <c r="F170" s="57"/>
      <c r="G170" s="152" t="s">
        <v>26</v>
      </c>
      <c r="H170" s="174" t="n">
        <v>4</v>
      </c>
      <c r="I170" s="154" t="n">
        <v>4</v>
      </c>
      <c r="J170" s="154" t="n">
        <v>4</v>
      </c>
      <c r="K170" s="155" t="n">
        <v>6046.1</v>
      </c>
      <c r="L170" s="155" t="n">
        <f aca="false">M170+N170</f>
        <v>7224.2</v>
      </c>
      <c r="M170" s="155" t="n">
        <f aca="false">4757.4+2466.8</f>
        <v>7224.2</v>
      </c>
      <c r="N170" s="156"/>
      <c r="O170" s="157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115</v>
      </c>
      <c r="C171" s="56" t="s">
        <v>20</v>
      </c>
      <c r="D171" s="56"/>
      <c r="E171" s="56" t="s">
        <v>116</v>
      </c>
      <c r="F171" s="36"/>
      <c r="G171" s="158" t="s">
        <v>22</v>
      </c>
      <c r="H171" s="159" t="n">
        <v>16</v>
      </c>
      <c r="I171" s="160" t="n">
        <v>15</v>
      </c>
      <c r="J171" s="160" t="n">
        <v>17</v>
      </c>
      <c r="K171" s="161" t="n">
        <v>15676.78</v>
      </c>
      <c r="L171" s="161" t="n">
        <f aca="false">M171+N171</f>
        <v>9503.97</v>
      </c>
      <c r="M171" s="161" t="n">
        <v>6070.98</v>
      </c>
      <c r="N171" s="190" t="n">
        <v>3432.99</v>
      </c>
      <c r="O171" s="163" t="n">
        <v>17</v>
      </c>
      <c r="P171" s="161" t="n">
        <v>40160.31</v>
      </c>
      <c r="Q171" s="161" t="n">
        <f aca="false">R171+S171</f>
        <v>38497.86</v>
      </c>
      <c r="R171" s="161" t="n">
        <v>22208.41</v>
      </c>
      <c r="S171" s="190" t="n">
        <v>16289.45</v>
      </c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42" t="s">
        <v>201</v>
      </c>
      <c r="G172" s="164" t="s">
        <v>26</v>
      </c>
      <c r="H172" s="172" t="n">
        <v>9</v>
      </c>
      <c r="I172" s="165" t="n">
        <v>4</v>
      </c>
      <c r="J172" s="165" t="n">
        <v>4</v>
      </c>
      <c r="K172" s="166" t="n">
        <v>8915.72</v>
      </c>
      <c r="L172" s="161" t="n">
        <f aca="false">M172+N172</f>
        <v>1585.8</v>
      </c>
      <c r="M172" s="166" t="n">
        <v>1585.8</v>
      </c>
      <c r="N172" s="156"/>
      <c r="O172" s="168" t="n">
        <v>8</v>
      </c>
      <c r="P172" s="166" t="n">
        <v>5286</v>
      </c>
      <c r="Q172" s="166" t="n">
        <f aca="false">R172+S172</f>
        <v>5286</v>
      </c>
      <c r="R172" s="166" t="n">
        <f aca="false">881+2114.4+2290.6</f>
        <v>5286</v>
      </c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" hidden="false" customHeight="true" outlineLevel="0" collapsed="false">
      <c r="A173" s="17"/>
      <c r="B173" s="18" t="s">
        <v>157</v>
      </c>
      <c r="C173" s="19"/>
      <c r="D173" s="19"/>
      <c r="E173" s="127"/>
      <c r="F173" s="22"/>
      <c r="G173" s="146" t="s">
        <v>22</v>
      </c>
      <c r="H173" s="147" t="n">
        <v>12</v>
      </c>
      <c r="I173" s="148" t="n">
        <v>5</v>
      </c>
      <c r="J173" s="148" t="n">
        <v>6</v>
      </c>
      <c r="K173" s="149" t="n">
        <v>11119.33</v>
      </c>
      <c r="L173" s="149" t="n">
        <f aca="false">M173+N173</f>
        <v>9520.31</v>
      </c>
      <c r="M173" s="149" t="n">
        <v>9520.31</v>
      </c>
      <c r="N173" s="190"/>
      <c r="O173" s="151"/>
      <c r="P173" s="149"/>
      <c r="Q173" s="149" t="n">
        <f aca="false">R173+S173</f>
        <v>0</v>
      </c>
      <c r="R173" s="149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false" outlineLevel="0" collapsed="false">
      <c r="A174" s="17"/>
      <c r="B174" s="18"/>
      <c r="C174" s="18"/>
      <c r="D174" s="18"/>
      <c r="E174" s="127"/>
      <c r="F174" s="26" t="s">
        <v>202</v>
      </c>
      <c r="G174" s="152" t="s">
        <v>26</v>
      </c>
      <c r="H174" s="176" t="n">
        <v>2</v>
      </c>
      <c r="I174" s="154"/>
      <c r="J174" s="154"/>
      <c r="K174" s="155"/>
      <c r="L174" s="155" t="n">
        <f aca="false">M174+N174</f>
        <v>0</v>
      </c>
      <c r="M174" s="155"/>
      <c r="N174" s="156"/>
      <c r="O174" s="157" t="n">
        <v>2</v>
      </c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33"/>
      <c r="B175" s="34" t="s">
        <v>117</v>
      </c>
      <c r="C175" s="35" t="s">
        <v>33</v>
      </c>
      <c r="D175" s="35" t="s">
        <v>118</v>
      </c>
      <c r="E175" s="74" t="s">
        <v>25</v>
      </c>
      <c r="F175" s="89"/>
      <c r="G175" s="158" t="s">
        <v>22</v>
      </c>
      <c r="H175" s="169"/>
      <c r="I175" s="160"/>
      <c r="J175" s="160"/>
      <c r="K175" s="161"/>
      <c r="L175" s="161" t="n">
        <f aca="false">M175+N175</f>
        <v>0</v>
      </c>
      <c r="M175" s="161"/>
      <c r="N175" s="190"/>
      <c r="O175" s="163"/>
      <c r="P175" s="161"/>
      <c r="Q175" s="161" t="n">
        <f aca="false">R175+S175</f>
        <v>0</v>
      </c>
      <c r="R175" s="161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33"/>
      <c r="B176" s="34"/>
      <c r="C176" s="34"/>
      <c r="D176" s="34"/>
      <c r="E176" s="34"/>
      <c r="F176" s="42"/>
      <c r="G176" s="158" t="s">
        <v>23</v>
      </c>
      <c r="H176" s="169"/>
      <c r="I176" s="160"/>
      <c r="J176" s="160"/>
      <c r="K176" s="161"/>
      <c r="L176" s="161" t="n">
        <f aca="false">M176+N176</f>
        <v>0</v>
      </c>
      <c r="M176" s="161"/>
      <c r="N176" s="167"/>
      <c r="O176" s="163" t="n">
        <v>2</v>
      </c>
      <c r="P176" s="161" t="n">
        <v>1762</v>
      </c>
      <c r="Q176" s="161" t="n">
        <v>1762</v>
      </c>
      <c r="R176" s="161" t="n">
        <v>1762</v>
      </c>
      <c r="S176" s="167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false" outlineLevel="0" collapsed="false">
      <c r="A177" s="33"/>
      <c r="B177" s="34"/>
      <c r="C177" s="34"/>
      <c r="D177" s="34"/>
      <c r="E177" s="34"/>
      <c r="F177" s="42"/>
      <c r="G177" s="164" t="s">
        <v>26</v>
      </c>
      <c r="H177" s="153"/>
      <c r="I177" s="165"/>
      <c r="J177" s="165"/>
      <c r="K177" s="166"/>
      <c r="L177" s="166" t="n">
        <f aca="false">M177+N177</f>
        <v>0</v>
      </c>
      <c r="M177" s="166"/>
      <c r="N177" s="156"/>
      <c r="O177" s="168" t="n">
        <v>7</v>
      </c>
      <c r="P177" s="166" t="n">
        <v>5902.7</v>
      </c>
      <c r="Q177" s="166" t="n">
        <f aca="false">R177+S177</f>
        <v>5902.7</v>
      </c>
      <c r="R177" s="166" t="n">
        <f aca="false">1762+1278.41+2862.29</f>
        <v>5902.7</v>
      </c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true" outlineLevel="0" collapsed="false">
      <c r="A178" s="17"/>
      <c r="B178" s="18" t="s">
        <v>119</v>
      </c>
      <c r="C178" s="19" t="s">
        <v>20</v>
      </c>
      <c r="D178" s="19"/>
      <c r="E178" s="19" t="s">
        <v>25</v>
      </c>
      <c r="F178" s="20"/>
      <c r="G178" s="146" t="s">
        <v>22</v>
      </c>
      <c r="H178" s="169"/>
      <c r="I178" s="148"/>
      <c r="J178" s="148"/>
      <c r="K178" s="149"/>
      <c r="L178" s="149" t="n">
        <f aca="false">M178+N178</f>
        <v>0</v>
      </c>
      <c r="M178" s="149"/>
      <c r="N178" s="190"/>
      <c r="O178" s="151" t="n">
        <v>2</v>
      </c>
      <c r="P178" s="149" t="n">
        <v>2643</v>
      </c>
      <c r="Q178" s="149" t="n">
        <f aca="false">R178+S178</f>
        <v>2643</v>
      </c>
      <c r="R178" s="149" t="n">
        <v>2643</v>
      </c>
      <c r="S178" s="190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17"/>
      <c r="B179" s="18"/>
      <c r="C179" s="18"/>
      <c r="D179" s="18"/>
      <c r="E179" s="18"/>
      <c r="F179" s="42" t="s">
        <v>203</v>
      </c>
      <c r="G179" s="164" t="s">
        <v>26</v>
      </c>
      <c r="H179" s="175" t="n">
        <v>4</v>
      </c>
      <c r="I179" s="165" t="n">
        <v>2</v>
      </c>
      <c r="J179" s="165" t="n">
        <v>2</v>
      </c>
      <c r="K179" s="166" t="n">
        <v>1233.4</v>
      </c>
      <c r="L179" s="166" t="n">
        <f aca="false">M179+N179</f>
        <v>1812.59</v>
      </c>
      <c r="M179" s="166" t="n">
        <f aca="false">704.8+1107.79</f>
        <v>1812.59</v>
      </c>
      <c r="N179" s="156"/>
      <c r="O179" s="168" t="n">
        <v>3</v>
      </c>
      <c r="P179" s="166" t="n">
        <v>11226.21</v>
      </c>
      <c r="Q179" s="166" t="n">
        <f aca="false">R179+S179</f>
        <v>11226.21</v>
      </c>
      <c r="R179" s="166" t="n">
        <f aca="false">7349.81+50.59+3825.81</f>
        <v>11226.21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225</v>
      </c>
      <c r="C180" s="19"/>
      <c r="D180" s="19"/>
      <c r="E180" s="19"/>
      <c r="F180" s="20"/>
      <c r="G180" s="146" t="s">
        <v>22</v>
      </c>
      <c r="H180" s="147"/>
      <c r="I180" s="148"/>
      <c r="J180" s="148"/>
      <c r="K180" s="149"/>
      <c r="L180" s="149" t="n">
        <f aca="false">M180+N180</f>
        <v>0</v>
      </c>
      <c r="M180" s="149"/>
      <c r="N180" s="190"/>
      <c r="O180" s="151"/>
      <c r="P180" s="149"/>
      <c r="Q180" s="149" t="n">
        <f aca="false">R180+S180</f>
        <v>0</v>
      </c>
      <c r="R180" s="149"/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17"/>
      <c r="B181" s="18"/>
      <c r="C181" s="18"/>
      <c r="D181" s="18"/>
      <c r="E181" s="18"/>
      <c r="F181" s="26" t="s">
        <v>244</v>
      </c>
      <c r="G181" s="152" t="s">
        <v>23</v>
      </c>
      <c r="H181" s="176" t="n">
        <v>16</v>
      </c>
      <c r="I181" s="154" t="n">
        <v>12</v>
      </c>
      <c r="J181" s="154" t="n">
        <v>12</v>
      </c>
      <c r="K181" s="155" t="n">
        <v>15020.8</v>
      </c>
      <c r="L181" s="155" t="n">
        <v>3567.8</v>
      </c>
      <c r="M181" s="155" t="n">
        <v>3567.8</v>
      </c>
      <c r="N181" s="156"/>
      <c r="O181" s="157"/>
      <c r="P181" s="155"/>
      <c r="Q181" s="155" t="n">
        <f aca="false">R181+S181</f>
        <v>0</v>
      </c>
      <c r="R181" s="155"/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54"/>
      <c r="B182" s="55" t="s">
        <v>120</v>
      </c>
      <c r="C182" s="56" t="s">
        <v>20</v>
      </c>
      <c r="D182" s="56"/>
      <c r="E182" s="56" t="s">
        <v>25</v>
      </c>
      <c r="F182" s="36"/>
      <c r="G182" s="158" t="s">
        <v>22</v>
      </c>
      <c r="H182" s="169"/>
      <c r="I182" s="160"/>
      <c r="J182" s="160"/>
      <c r="K182" s="161"/>
      <c r="L182" s="161" t="n">
        <f aca="false">M182+N182</f>
        <v>0</v>
      </c>
      <c r="M182" s="161"/>
      <c r="N182" s="190"/>
      <c r="O182" s="163" t="n">
        <v>3</v>
      </c>
      <c r="P182" s="161" t="n">
        <v>3063.78</v>
      </c>
      <c r="Q182" s="161" t="n">
        <f aca="false">R182+S182</f>
        <v>3063.78</v>
      </c>
      <c r="R182" s="161" t="n">
        <v>3063.78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54"/>
      <c r="B183" s="55"/>
      <c r="C183" s="55"/>
      <c r="D183" s="55"/>
      <c r="E183" s="55"/>
      <c r="F183" s="71"/>
      <c r="G183" s="164" t="s">
        <v>26</v>
      </c>
      <c r="H183" s="175"/>
      <c r="I183" s="165"/>
      <c r="J183" s="165"/>
      <c r="K183" s="166"/>
      <c r="L183" s="166" t="n">
        <f aca="false">M183+N183</f>
        <v>0</v>
      </c>
      <c r="M183" s="166"/>
      <c r="N183" s="156"/>
      <c r="O183" s="168"/>
      <c r="P183" s="166"/>
      <c r="Q183" s="166" t="n">
        <f aca="false">R183+S183</f>
        <v>0</v>
      </c>
      <c r="R183" s="166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72"/>
      <c r="B184" s="18" t="s">
        <v>158</v>
      </c>
      <c r="C184" s="74"/>
      <c r="D184" s="56" t="s">
        <v>204</v>
      </c>
      <c r="E184" s="74"/>
      <c r="F184" s="53"/>
      <c r="G184" s="146" t="s">
        <v>22</v>
      </c>
      <c r="H184" s="195"/>
      <c r="I184" s="196"/>
      <c r="J184" s="196"/>
      <c r="K184" s="197"/>
      <c r="L184" s="197" t="n">
        <f aca="false">M184+N184</f>
        <v>0</v>
      </c>
      <c r="M184" s="197"/>
      <c r="N184" s="190"/>
      <c r="O184" s="199"/>
      <c r="P184" s="197"/>
      <c r="Q184" s="197" t="n">
        <f aca="false">R184+S184</f>
        <v>0</v>
      </c>
      <c r="R184" s="197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54"/>
      <c r="B185" s="18"/>
      <c r="C185" s="56"/>
      <c r="D185" s="56"/>
      <c r="E185" s="56"/>
      <c r="F185" s="138" t="s">
        <v>205</v>
      </c>
      <c r="G185" s="152" t="s">
        <v>26</v>
      </c>
      <c r="H185" s="153" t="n">
        <v>5</v>
      </c>
      <c r="I185" s="200" t="n">
        <v>2</v>
      </c>
      <c r="J185" s="200" t="n">
        <v>2</v>
      </c>
      <c r="K185" s="201" t="n">
        <v>3524</v>
      </c>
      <c r="L185" s="201" t="n">
        <f aca="false">M185+N185</f>
        <v>0</v>
      </c>
      <c r="M185" s="201"/>
      <c r="N185" s="156"/>
      <c r="O185" s="203"/>
      <c r="P185" s="201"/>
      <c r="Q185" s="201" t="n">
        <f aca="false">R185+S185</f>
        <v>0</v>
      </c>
      <c r="R185" s="201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33"/>
      <c r="B186" s="34" t="s">
        <v>152</v>
      </c>
      <c r="C186" s="35" t="s">
        <v>20</v>
      </c>
      <c r="D186" s="35"/>
      <c r="E186" s="35" t="s">
        <v>25</v>
      </c>
      <c r="F186" s="36"/>
      <c r="G186" s="158" t="s">
        <v>22</v>
      </c>
      <c r="H186" s="169"/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4</v>
      </c>
      <c r="P186" s="161" t="n">
        <v>7400.4</v>
      </c>
      <c r="Q186" s="161" t="n">
        <f aca="false">R186+S186</f>
        <v>7400.4</v>
      </c>
      <c r="R186" s="161" t="n">
        <v>7400.4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33"/>
      <c r="B187" s="34"/>
      <c r="C187" s="34"/>
      <c r="D187" s="34"/>
      <c r="E187" s="34"/>
      <c r="F187" s="42" t="s">
        <v>206</v>
      </c>
      <c r="G187" s="164" t="s">
        <v>26</v>
      </c>
      <c r="H187" s="171" t="n">
        <v>4</v>
      </c>
      <c r="I187" s="165"/>
      <c r="J187" s="165" t="n">
        <v>1</v>
      </c>
      <c r="K187" s="166" t="n">
        <v>704.8</v>
      </c>
      <c r="L187" s="166" t="n">
        <v>0</v>
      </c>
      <c r="M187" s="166" t="n">
        <f aca="false">4228.8</f>
        <v>4228.8</v>
      </c>
      <c r="N187" s="156"/>
      <c r="O187" s="168" t="n">
        <v>7</v>
      </c>
      <c r="P187" s="166" t="n">
        <v>12950.7</v>
      </c>
      <c r="Q187" s="161" t="n">
        <f aca="false">R187+S187</f>
        <v>12950.7</v>
      </c>
      <c r="R187" s="166" t="n">
        <f aca="false">2731.1+4228.8+5990.8</f>
        <v>12950.7</v>
      </c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17"/>
      <c r="B188" s="18" t="s">
        <v>122</v>
      </c>
      <c r="C188" s="19" t="s">
        <v>20</v>
      </c>
      <c r="D188" s="19"/>
      <c r="E188" s="19" t="s">
        <v>116</v>
      </c>
      <c r="F188" s="20"/>
      <c r="G188" s="146" t="s">
        <v>22</v>
      </c>
      <c r="H188" s="159" t="n">
        <v>33</v>
      </c>
      <c r="I188" s="148" t="n">
        <v>29</v>
      </c>
      <c r="J188" s="148" t="n">
        <v>40</v>
      </c>
      <c r="K188" s="149" t="n">
        <v>64246.65</v>
      </c>
      <c r="L188" s="149" t="n">
        <f aca="false">M188+N188</f>
        <v>63069.56</v>
      </c>
      <c r="M188" s="149" t="n">
        <v>32759.12</v>
      </c>
      <c r="N188" s="190" t="n">
        <v>30310.44</v>
      </c>
      <c r="O188" s="151" t="n">
        <v>31</v>
      </c>
      <c r="P188" s="149" t="n">
        <v>112720.04</v>
      </c>
      <c r="Q188" s="149" t="n">
        <f aca="false">R188+S188</f>
        <v>112720.04</v>
      </c>
      <c r="R188" s="149" t="n">
        <v>61568.09</v>
      </c>
      <c r="S188" s="190" t="n">
        <v>51151.95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57"/>
      <c r="G189" s="152" t="s">
        <v>26</v>
      </c>
      <c r="H189" s="153"/>
      <c r="I189" s="154"/>
      <c r="J189" s="154"/>
      <c r="K189" s="155"/>
      <c r="L189" s="155" t="n">
        <f aca="false">M189+N189</f>
        <v>0</v>
      </c>
      <c r="M189" s="155"/>
      <c r="N189" s="156"/>
      <c r="O189" s="157"/>
      <c r="P189" s="155"/>
      <c r="Q189" s="155" t="n">
        <f aca="false">R189+S189</f>
        <v>0</v>
      </c>
      <c r="R189" s="155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33"/>
      <c r="B190" s="34" t="s">
        <v>123</v>
      </c>
      <c r="C190" s="35" t="s">
        <v>20</v>
      </c>
      <c r="D190" s="35"/>
      <c r="E190" s="35" t="s">
        <v>25</v>
      </c>
      <c r="F190" s="36"/>
      <c r="G190" s="146" t="s">
        <v>22</v>
      </c>
      <c r="H190" s="159" t="n">
        <v>6</v>
      </c>
      <c r="I190" s="160" t="n">
        <v>6</v>
      </c>
      <c r="J190" s="160" t="n">
        <v>6</v>
      </c>
      <c r="K190" s="161" t="n">
        <v>5298.16</v>
      </c>
      <c r="L190" s="161" t="n">
        <f aca="false">M190+N190</f>
        <v>4193.56</v>
      </c>
      <c r="M190" s="161" t="n">
        <v>4193.56</v>
      </c>
      <c r="N190" s="190"/>
      <c r="O190" s="163" t="n">
        <v>6</v>
      </c>
      <c r="P190" s="161" t="n">
        <v>10868.41</v>
      </c>
      <c r="Q190" s="161" t="n">
        <f aca="false">R190+S190</f>
        <v>10868.41</v>
      </c>
      <c r="R190" s="161" t="n">
        <v>10868.41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207</v>
      </c>
      <c r="G191" s="164" t="s">
        <v>26</v>
      </c>
      <c r="H191" s="153" t="n">
        <v>5</v>
      </c>
      <c r="I191" s="165" t="n">
        <v>2</v>
      </c>
      <c r="J191" s="165" t="n">
        <v>2</v>
      </c>
      <c r="K191" s="166" t="n">
        <v>1472.8</v>
      </c>
      <c r="L191" s="161" t="n">
        <f aca="false">M191+N191</f>
        <v>0</v>
      </c>
      <c r="M191" s="166" t="n">
        <v>0</v>
      </c>
      <c r="N191" s="156"/>
      <c r="O191" s="168" t="n">
        <v>2</v>
      </c>
      <c r="P191" s="166" t="n">
        <v>881</v>
      </c>
      <c r="Q191" s="166" t="n">
        <f aca="false">R191+S191</f>
        <v>881</v>
      </c>
      <c r="R191" s="166" t="n">
        <f aca="false">881</f>
        <v>881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124</v>
      </c>
      <c r="C192" s="19" t="s">
        <v>20</v>
      </c>
      <c r="D192" s="19"/>
      <c r="E192" s="19" t="s">
        <v>88</v>
      </c>
      <c r="F192" s="20"/>
      <c r="G192" s="146" t="s">
        <v>22</v>
      </c>
      <c r="H192" s="159" t="n">
        <v>17</v>
      </c>
      <c r="I192" s="148" t="n">
        <v>13</v>
      </c>
      <c r="J192" s="148" t="n">
        <v>14</v>
      </c>
      <c r="K192" s="149" t="n">
        <v>25635.97</v>
      </c>
      <c r="L192" s="149" t="n">
        <f aca="false">M192+N192</f>
        <v>9941.39</v>
      </c>
      <c r="M192" s="149" t="n">
        <v>5959.27</v>
      </c>
      <c r="N192" s="190" t="n">
        <v>3982.12</v>
      </c>
      <c r="O192" s="151" t="n">
        <v>11</v>
      </c>
      <c r="P192" s="149" t="n">
        <v>25417.55</v>
      </c>
      <c r="Q192" s="149" t="n">
        <f aca="false">R192+S192</f>
        <v>21526.95</v>
      </c>
      <c r="R192" s="149" t="n">
        <v>19070.72</v>
      </c>
      <c r="S192" s="190" t="n">
        <v>2456.23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42" t="s">
        <v>245</v>
      </c>
      <c r="G193" s="164" t="s">
        <v>23</v>
      </c>
      <c r="H193" s="172" t="n">
        <v>11</v>
      </c>
      <c r="I193" s="165" t="n">
        <v>2</v>
      </c>
      <c r="J193" s="165" t="n">
        <v>2</v>
      </c>
      <c r="K193" s="166" t="n">
        <v>396.45</v>
      </c>
      <c r="L193" s="166" t="n">
        <v>396.45</v>
      </c>
      <c r="M193" s="166" t="n">
        <v>396.45</v>
      </c>
      <c r="N193" s="156"/>
      <c r="O193" s="168" t="n">
        <v>7</v>
      </c>
      <c r="P193" s="166" t="n">
        <v>10647.7</v>
      </c>
      <c r="Q193" s="166" t="n">
        <v>9061.9</v>
      </c>
      <c r="R193" s="166" t="n">
        <v>9061.9</v>
      </c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208</v>
      </c>
      <c r="C194" s="19"/>
      <c r="D194" s="19"/>
      <c r="E194" s="127"/>
      <c r="F194" s="20"/>
      <c r="G194" s="146" t="s">
        <v>22</v>
      </c>
      <c r="H194" s="173" t="n">
        <v>37</v>
      </c>
      <c r="I194" s="148" t="n">
        <v>25</v>
      </c>
      <c r="J194" s="148" t="n">
        <v>25</v>
      </c>
      <c r="K194" s="149" t="n">
        <v>31863.12</v>
      </c>
      <c r="L194" s="149" t="n">
        <f aca="false">M194+N194</f>
        <v>30664.96</v>
      </c>
      <c r="M194" s="149" t="n">
        <v>30664.96</v>
      </c>
      <c r="N194" s="190"/>
      <c r="O194" s="151"/>
      <c r="P194" s="149"/>
      <c r="Q194" s="149" t="n">
        <f aca="false">R194+S194</f>
        <v>0</v>
      </c>
      <c r="R194" s="149"/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28"/>
      <c r="F195" s="26" t="s">
        <v>246</v>
      </c>
      <c r="G195" s="152" t="s">
        <v>23</v>
      </c>
      <c r="H195" s="174" t="n">
        <v>11</v>
      </c>
      <c r="I195" s="154" t="n">
        <v>9</v>
      </c>
      <c r="J195" s="154" t="n">
        <v>9</v>
      </c>
      <c r="K195" s="155" t="n">
        <v>8934</v>
      </c>
      <c r="L195" s="155" t="n">
        <f aca="false">M195+N195</f>
        <v>1938.2</v>
      </c>
      <c r="M195" s="155" t="n">
        <v>1938.2</v>
      </c>
      <c r="N195" s="156"/>
      <c r="O195" s="157"/>
      <c r="P195" s="155"/>
      <c r="Q195" s="155" t="n">
        <f aca="false">R195+S195</f>
        <v>0</v>
      </c>
      <c r="R195" s="155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33"/>
      <c r="B196" s="34" t="s">
        <v>125</v>
      </c>
      <c r="C196" s="35" t="s">
        <v>33</v>
      </c>
      <c r="D196" s="35" t="s">
        <v>126</v>
      </c>
      <c r="E196" s="35" t="s">
        <v>127</v>
      </c>
      <c r="F196" s="36"/>
      <c r="G196" s="158" t="s">
        <v>22</v>
      </c>
      <c r="H196" s="159" t="n">
        <v>15</v>
      </c>
      <c r="I196" s="160" t="n">
        <v>10</v>
      </c>
      <c r="J196" s="160" t="n">
        <v>12</v>
      </c>
      <c r="K196" s="161" t="n">
        <v>33928.76</v>
      </c>
      <c r="L196" s="161" t="n">
        <f aca="false">M196+N196</f>
        <v>29800.18</v>
      </c>
      <c r="M196" s="161" t="n">
        <v>7126.5</v>
      </c>
      <c r="N196" s="190" t="n">
        <v>22673.68</v>
      </c>
      <c r="O196" s="163" t="n">
        <v>14</v>
      </c>
      <c r="P196" s="161" t="n">
        <v>33154.57</v>
      </c>
      <c r="Q196" s="161" t="n">
        <f aca="false">R196+S196</f>
        <v>33154.57</v>
      </c>
      <c r="R196" s="161" t="n">
        <v>32035.95</v>
      </c>
      <c r="S196" s="190" t="n">
        <v>1118.62</v>
      </c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33"/>
      <c r="B197" s="34"/>
      <c r="C197" s="34"/>
      <c r="D197" s="34"/>
      <c r="E197" s="34"/>
      <c r="F197" s="42"/>
      <c r="G197" s="164" t="s">
        <v>23</v>
      </c>
      <c r="H197" s="171" t="n">
        <v>34</v>
      </c>
      <c r="I197" s="165" t="n">
        <v>8</v>
      </c>
      <c r="J197" s="165" t="n">
        <v>8</v>
      </c>
      <c r="K197" s="166" t="n">
        <v>13919.8</v>
      </c>
      <c r="L197" s="166" t="n">
        <v>5109.8</v>
      </c>
      <c r="M197" s="166" t="n">
        <v>5109.8</v>
      </c>
      <c r="N197" s="156" t="n">
        <v>5374.1</v>
      </c>
      <c r="O197" s="168" t="n">
        <v>22</v>
      </c>
      <c r="P197" s="166" t="n">
        <v>49345.2</v>
      </c>
      <c r="Q197" s="166" t="n">
        <v>37639.62</v>
      </c>
      <c r="R197" s="166" t="n">
        <v>37639.62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" hidden="false" customHeight="true" outlineLevel="0" collapsed="false">
      <c r="A198" s="17"/>
      <c r="B198" s="18" t="s">
        <v>128</v>
      </c>
      <c r="C198" s="19" t="s">
        <v>20</v>
      </c>
      <c r="D198" s="19"/>
      <c r="E198" s="19" t="s">
        <v>25</v>
      </c>
      <c r="F198" s="20"/>
      <c r="G198" s="146" t="s">
        <v>22</v>
      </c>
      <c r="H198" s="159" t="n">
        <v>23</v>
      </c>
      <c r="I198" s="148" t="n">
        <v>14</v>
      </c>
      <c r="J198" s="148" t="n">
        <v>16</v>
      </c>
      <c r="K198" s="149" t="n">
        <v>17068.16</v>
      </c>
      <c r="L198" s="149" t="n">
        <f aca="false">M198+N198</f>
        <v>13365.9</v>
      </c>
      <c r="M198" s="149" t="n">
        <v>10868.49</v>
      </c>
      <c r="N198" s="190" t="n">
        <v>2497.41</v>
      </c>
      <c r="O198" s="151" t="n">
        <v>25</v>
      </c>
      <c r="P198" s="149" t="n">
        <v>47491.14</v>
      </c>
      <c r="Q198" s="149" t="n">
        <f aca="false">R198+S198</f>
        <v>42740.26</v>
      </c>
      <c r="R198" s="149" t="n">
        <v>42740.26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71"/>
      <c r="G199" s="164" t="s">
        <v>26</v>
      </c>
      <c r="H199" s="175"/>
      <c r="I199" s="165"/>
      <c r="J199" s="165"/>
      <c r="K199" s="166"/>
      <c r="L199" s="166" t="n">
        <f aca="false">M199+N199</f>
        <v>0</v>
      </c>
      <c r="M199" s="166"/>
      <c r="N199" s="156"/>
      <c r="O199" s="168"/>
      <c r="P199" s="166"/>
      <c r="Q199" s="166" t="n">
        <f aca="false">R199+S199</f>
        <v>0</v>
      </c>
      <c r="R199" s="166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17"/>
      <c r="B200" s="18" t="s">
        <v>227</v>
      </c>
      <c r="C200" s="19"/>
      <c r="D200" s="19"/>
      <c r="E200" s="19"/>
      <c r="F200" s="20"/>
      <c r="G200" s="204" t="s">
        <v>22</v>
      </c>
      <c r="H200" s="173" t="n">
        <v>5</v>
      </c>
      <c r="I200" s="148" t="n">
        <v>1</v>
      </c>
      <c r="J200" s="148" t="n">
        <v>1</v>
      </c>
      <c r="K200" s="149" t="n">
        <v>621.99</v>
      </c>
      <c r="L200" s="149" t="n">
        <f aca="false">M200+N200</f>
        <v>0</v>
      </c>
      <c r="M200" s="149"/>
      <c r="N200" s="190"/>
      <c r="O200" s="206"/>
      <c r="P200" s="149"/>
      <c r="Q200" s="149" t="n">
        <f aca="false">R200+S200</f>
        <v>0</v>
      </c>
      <c r="R200" s="149"/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57"/>
      <c r="G201" s="207" t="s">
        <v>26</v>
      </c>
      <c r="H201" s="174"/>
      <c r="I201" s="154"/>
      <c r="J201" s="154"/>
      <c r="K201" s="155"/>
      <c r="L201" s="155" t="n">
        <f aca="false">M201+N201</f>
        <v>0</v>
      </c>
      <c r="M201" s="155"/>
      <c r="N201" s="156"/>
      <c r="O201" s="209"/>
      <c r="P201" s="155"/>
      <c r="Q201" s="155" t="n">
        <f aca="false">R201+S201</f>
        <v>0</v>
      </c>
      <c r="R201" s="155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33"/>
      <c r="B202" s="34" t="s">
        <v>129</v>
      </c>
      <c r="C202" s="35" t="s">
        <v>38</v>
      </c>
      <c r="D202" s="35" t="s">
        <v>130</v>
      </c>
      <c r="E202" s="35" t="s">
        <v>25</v>
      </c>
      <c r="F202" s="36"/>
      <c r="G202" s="158" t="s">
        <v>22</v>
      </c>
      <c r="H202" s="159" t="n">
        <v>13</v>
      </c>
      <c r="I202" s="160" t="n">
        <v>10</v>
      </c>
      <c r="J202" s="160" t="n">
        <v>10</v>
      </c>
      <c r="K202" s="161" t="n">
        <v>8519.19</v>
      </c>
      <c r="L202" s="161" t="n">
        <f aca="false">M202+N202</f>
        <v>8519.19</v>
      </c>
      <c r="M202" s="161" t="n">
        <v>5680.61</v>
      </c>
      <c r="N202" s="190" t="n">
        <v>2838.58</v>
      </c>
      <c r="O202" s="163" t="n">
        <v>5</v>
      </c>
      <c r="P202" s="161" t="n">
        <v>66458.37</v>
      </c>
      <c r="Q202" s="161" t="n">
        <f aca="false">R202+S202</f>
        <v>66458.37</v>
      </c>
      <c r="R202" s="161" t="n">
        <v>44463.45</v>
      </c>
      <c r="S202" s="190" t="n">
        <v>21994.92</v>
      </c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33"/>
      <c r="B203" s="34"/>
      <c r="C203" s="34"/>
      <c r="D203" s="34"/>
      <c r="E203" s="34"/>
      <c r="F203" s="42" t="s">
        <v>209</v>
      </c>
      <c r="G203" s="164" t="s">
        <v>26</v>
      </c>
      <c r="H203" s="153" t="n">
        <v>5</v>
      </c>
      <c r="I203" s="165" t="n">
        <v>1</v>
      </c>
      <c r="J203" s="165" t="n">
        <v>1</v>
      </c>
      <c r="K203" s="166" t="n">
        <v>1762</v>
      </c>
      <c r="L203" s="161" t="n">
        <f aca="false">M203+N203</f>
        <v>1762</v>
      </c>
      <c r="M203" s="166" t="n">
        <f aca="false">1762</f>
        <v>1762</v>
      </c>
      <c r="N203" s="156"/>
      <c r="O203" s="168" t="n">
        <v>7</v>
      </c>
      <c r="P203" s="166" t="n">
        <v>22040.1</v>
      </c>
      <c r="Q203" s="166" t="n">
        <f aca="false">R203+S203</f>
        <v>22040.1</v>
      </c>
      <c r="R203" s="166" t="n">
        <f aca="false">881+881+14612.2+1409.5+4256.4</f>
        <v>22040.1</v>
      </c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6.5" hidden="false" customHeight="true" outlineLevel="0" collapsed="false">
      <c r="A204" s="17"/>
      <c r="B204" s="18" t="s">
        <v>131</v>
      </c>
      <c r="C204" s="19" t="s">
        <v>38</v>
      </c>
      <c r="D204" s="19" t="s">
        <v>130</v>
      </c>
      <c r="E204" s="19" t="s">
        <v>25</v>
      </c>
      <c r="F204" s="20"/>
      <c r="G204" s="146" t="s">
        <v>22</v>
      </c>
      <c r="H204" s="159" t="n">
        <v>10</v>
      </c>
      <c r="I204" s="148" t="n">
        <v>9</v>
      </c>
      <c r="J204" s="148" t="n">
        <v>15</v>
      </c>
      <c r="K204" s="149" t="n">
        <v>44926.64</v>
      </c>
      <c r="L204" s="149" t="n">
        <f aca="false">M204+N204</f>
        <v>31320.86</v>
      </c>
      <c r="M204" s="149" t="n">
        <v>25996.1</v>
      </c>
      <c r="N204" s="190" t="n">
        <v>5324.76</v>
      </c>
      <c r="O204" s="151" t="n">
        <v>16</v>
      </c>
      <c r="P204" s="149" t="n">
        <v>159038.28</v>
      </c>
      <c r="Q204" s="149" t="n">
        <f aca="false">R204+S204</f>
        <v>151501.71</v>
      </c>
      <c r="R204" s="149" t="n">
        <v>58274.05</v>
      </c>
      <c r="S204" s="198" t="n">
        <v>93227.66</v>
      </c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6.5" hidden="false" customHeight="true" outlineLevel="0" collapsed="false">
      <c r="A205" s="17"/>
      <c r="B205" s="18"/>
      <c r="C205" s="18"/>
      <c r="D205" s="18"/>
      <c r="E205" s="18"/>
      <c r="F205" s="26" t="s">
        <v>210</v>
      </c>
      <c r="G205" s="152" t="s">
        <v>26</v>
      </c>
      <c r="H205" s="153" t="n">
        <v>5</v>
      </c>
      <c r="I205" s="154" t="n">
        <v>4</v>
      </c>
      <c r="J205" s="154" t="n">
        <v>4</v>
      </c>
      <c r="K205" s="155" t="n">
        <v>3034.9</v>
      </c>
      <c r="L205" s="155" t="n">
        <f aca="false">M205+N205</f>
        <v>2114.4</v>
      </c>
      <c r="M205" s="155" t="n">
        <f aca="false">1585.8+528.6</f>
        <v>2114.4</v>
      </c>
      <c r="N205" s="156"/>
      <c r="O205" s="157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6.5" hidden="false" customHeight="true" outlineLevel="0" collapsed="false">
      <c r="A206" s="33"/>
      <c r="B206" s="34" t="s">
        <v>132</v>
      </c>
      <c r="C206" s="35" t="s">
        <v>20</v>
      </c>
      <c r="D206" s="35"/>
      <c r="E206" s="35" t="s">
        <v>69</v>
      </c>
      <c r="F206" s="38"/>
      <c r="G206" s="146" t="s">
        <v>22</v>
      </c>
      <c r="H206" s="159" t="n">
        <v>12</v>
      </c>
      <c r="I206" s="160" t="n">
        <v>11</v>
      </c>
      <c r="J206" s="160" t="n">
        <v>17</v>
      </c>
      <c r="K206" s="161" t="n">
        <v>39190.81</v>
      </c>
      <c r="L206" s="161" t="n">
        <f aca="false">M206+N206</f>
        <v>23368.97</v>
      </c>
      <c r="M206" s="161" t="n">
        <v>23368.97</v>
      </c>
      <c r="N206" s="190"/>
      <c r="O206" s="163" t="n">
        <v>13</v>
      </c>
      <c r="P206" s="161" t="n">
        <v>43004.3</v>
      </c>
      <c r="Q206" s="161" t="n">
        <f aca="false">R206+S206</f>
        <v>39943.71</v>
      </c>
      <c r="R206" s="161" t="n">
        <v>39943.71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6.5" hidden="false" customHeight="true" outlineLevel="0" collapsed="false">
      <c r="A207" s="33"/>
      <c r="B207" s="34"/>
      <c r="C207" s="34"/>
      <c r="D207" s="34"/>
      <c r="E207" s="34"/>
      <c r="F207" s="42" t="s">
        <v>211</v>
      </c>
      <c r="G207" s="164" t="s">
        <v>26</v>
      </c>
      <c r="H207" s="153" t="n">
        <v>8</v>
      </c>
      <c r="I207" s="165" t="n">
        <v>3</v>
      </c>
      <c r="J207" s="165" t="n">
        <v>3</v>
      </c>
      <c r="K207" s="166" t="n">
        <v>10184.36</v>
      </c>
      <c r="L207" s="166" t="n">
        <f aca="false">M207+N207</f>
        <v>0</v>
      </c>
      <c r="M207" s="166"/>
      <c r="N207" s="156"/>
      <c r="O207" s="168" t="n">
        <v>1</v>
      </c>
      <c r="P207" s="166" t="n">
        <v>3700.2</v>
      </c>
      <c r="Q207" s="166" t="n">
        <f aca="false">R207+S207</f>
        <v>0</v>
      </c>
      <c r="R207" s="166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72"/>
      <c r="B208" s="73" t="s">
        <v>133</v>
      </c>
      <c r="C208" s="74" t="s">
        <v>20</v>
      </c>
      <c r="D208" s="74"/>
      <c r="E208" s="74" t="s">
        <v>25</v>
      </c>
      <c r="F208" s="22"/>
      <c r="G208" s="146" t="s">
        <v>22</v>
      </c>
      <c r="H208" s="159" t="n">
        <v>4</v>
      </c>
      <c r="I208" s="148" t="n">
        <v>4</v>
      </c>
      <c r="J208" s="148" t="n">
        <v>5</v>
      </c>
      <c r="K208" s="149" t="n">
        <v>7984.73</v>
      </c>
      <c r="L208" s="149" t="n">
        <f aca="false">M208+N208</f>
        <v>7984.73</v>
      </c>
      <c r="M208" s="149" t="n">
        <v>7984.73</v>
      </c>
      <c r="N208" s="190"/>
      <c r="O208" s="151" t="n">
        <v>2</v>
      </c>
      <c r="P208" s="149" t="n">
        <v>4329.79</v>
      </c>
      <c r="Q208" s="149" t="n">
        <f aca="false">R208+S208</f>
        <v>4329.79</v>
      </c>
      <c r="R208" s="149" t="n">
        <v>4329.79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72"/>
      <c r="B209" s="73"/>
      <c r="C209" s="73"/>
      <c r="D209" s="73"/>
      <c r="E209" s="73"/>
      <c r="F209" s="42" t="s">
        <v>212</v>
      </c>
      <c r="G209" s="164" t="s">
        <v>26</v>
      </c>
      <c r="H209" s="171" t="n">
        <v>4</v>
      </c>
      <c r="I209" s="165" t="n">
        <v>1</v>
      </c>
      <c r="J209" s="165" t="n">
        <v>1</v>
      </c>
      <c r="K209" s="166" t="n">
        <v>1409.6</v>
      </c>
      <c r="L209" s="166" t="n">
        <f aca="false">M209+N209</f>
        <v>1409.6</v>
      </c>
      <c r="M209" s="166" t="n">
        <f aca="false">1409.6</f>
        <v>1409.6</v>
      </c>
      <c r="N209" s="156"/>
      <c r="O209" s="168" t="n">
        <v>2</v>
      </c>
      <c r="P209" s="166" t="n">
        <v>2907.3</v>
      </c>
      <c r="Q209" s="166" t="n">
        <f aca="false">R209+S209</f>
        <v>2907.3</v>
      </c>
      <c r="R209" s="166" t="n">
        <f aca="false">1321.5+1585.8</f>
        <v>2907.3</v>
      </c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72"/>
      <c r="B210" s="73" t="s">
        <v>134</v>
      </c>
      <c r="C210" s="74" t="s">
        <v>20</v>
      </c>
      <c r="D210" s="74"/>
      <c r="E210" s="74" t="s">
        <v>25</v>
      </c>
      <c r="F210" s="20"/>
      <c r="G210" s="146" t="s">
        <v>22</v>
      </c>
      <c r="H210" s="169"/>
      <c r="I210" s="148"/>
      <c r="J210" s="148"/>
      <c r="K210" s="149"/>
      <c r="L210" s="149" t="n">
        <f aca="false">M210+N210</f>
        <v>0</v>
      </c>
      <c r="M210" s="149"/>
      <c r="N210" s="190"/>
      <c r="O210" s="151" t="n">
        <v>1</v>
      </c>
      <c r="P210" s="149" t="n">
        <v>13019.26</v>
      </c>
      <c r="Q210" s="149" t="n">
        <f aca="false">R210+S210</f>
        <v>13019.26</v>
      </c>
      <c r="R210" s="149" t="n">
        <v>13019.26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72"/>
      <c r="B211" s="73"/>
      <c r="C211" s="73"/>
      <c r="D211" s="73"/>
      <c r="E211" s="73"/>
      <c r="F211" s="42" t="s">
        <v>213</v>
      </c>
      <c r="G211" s="164" t="s">
        <v>26</v>
      </c>
      <c r="H211" s="153" t="n">
        <v>5</v>
      </c>
      <c r="I211" s="165" t="n">
        <v>1</v>
      </c>
      <c r="J211" s="165" t="n">
        <v>1</v>
      </c>
      <c r="K211" s="166" t="n">
        <v>552.3</v>
      </c>
      <c r="L211" s="166" t="n">
        <f aca="false">M211+N211</f>
        <v>0</v>
      </c>
      <c r="M211" s="166"/>
      <c r="N211" s="156"/>
      <c r="O211" s="168" t="n">
        <v>7</v>
      </c>
      <c r="P211" s="166" t="n">
        <v>28509.42</v>
      </c>
      <c r="Q211" s="166" t="n">
        <f aca="false">R211+S211</f>
        <v>28509.42</v>
      </c>
      <c r="R211" s="166" t="n">
        <f aca="false">19875.62+8633.8</f>
        <v>28509.42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" hidden="false" customHeight="true" outlineLevel="0" collapsed="false">
      <c r="A212" s="17"/>
      <c r="B212" s="18" t="s">
        <v>135</v>
      </c>
      <c r="C212" s="19" t="s">
        <v>20</v>
      </c>
      <c r="D212" s="19"/>
      <c r="E212" s="19" t="s">
        <v>69</v>
      </c>
      <c r="F212" s="22"/>
      <c r="G212" s="146" t="s">
        <v>22</v>
      </c>
      <c r="H212" s="159" t="n">
        <v>13</v>
      </c>
      <c r="I212" s="148" t="n">
        <v>7</v>
      </c>
      <c r="J212" s="148" t="n">
        <v>8</v>
      </c>
      <c r="K212" s="149" t="n">
        <v>16705.49</v>
      </c>
      <c r="L212" s="149" t="n">
        <f aca="false">M212+N212</f>
        <v>11754.09</v>
      </c>
      <c r="M212" s="149" t="n">
        <v>5321.24</v>
      </c>
      <c r="N212" s="190" t="n">
        <v>6432.85</v>
      </c>
      <c r="O212" s="151" t="n">
        <v>13</v>
      </c>
      <c r="P212" s="149" t="n">
        <v>42132.95</v>
      </c>
      <c r="Q212" s="149" t="n">
        <f aca="false">R212+S212</f>
        <v>42132.95</v>
      </c>
      <c r="R212" s="149" t="n">
        <v>42132.95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.75" hidden="false" customHeight="true" outlineLevel="0" collapsed="false">
      <c r="A213" s="17"/>
      <c r="B213" s="18"/>
      <c r="C213" s="18"/>
      <c r="D213" s="18"/>
      <c r="E213" s="18"/>
      <c r="F213" s="26" t="s">
        <v>277</v>
      </c>
      <c r="G213" s="152" t="s">
        <v>26</v>
      </c>
      <c r="H213" s="171" t="n">
        <v>7</v>
      </c>
      <c r="I213" s="154"/>
      <c r="J213" s="154" t="n">
        <v>2</v>
      </c>
      <c r="K213" s="155" t="n">
        <v>1409.6</v>
      </c>
      <c r="L213" s="155" t="n">
        <f aca="false">M213+N213</f>
        <v>0</v>
      </c>
      <c r="M213" s="155"/>
      <c r="N213" s="156"/>
      <c r="O213" s="157" t="n">
        <v>2</v>
      </c>
      <c r="P213" s="155" t="n">
        <v>2292.9</v>
      </c>
      <c r="Q213" s="155" t="n">
        <f aca="false">R213+S213</f>
        <v>792.9</v>
      </c>
      <c r="R213" s="155" t="n">
        <f aca="false">792.9</f>
        <v>792.9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.75" hidden="false" customHeight="true" outlineLevel="0" collapsed="false">
      <c r="A214" s="33"/>
      <c r="B214" s="34" t="s">
        <v>136</v>
      </c>
      <c r="C214" s="35" t="s">
        <v>20</v>
      </c>
      <c r="D214" s="35"/>
      <c r="E214" s="35" t="s">
        <v>98</v>
      </c>
      <c r="F214" s="36"/>
      <c r="G214" s="146" t="s">
        <v>22</v>
      </c>
      <c r="H214" s="159" t="n">
        <v>24</v>
      </c>
      <c r="I214" s="160" t="n">
        <v>14</v>
      </c>
      <c r="J214" s="160" t="n">
        <v>21</v>
      </c>
      <c r="K214" s="161" t="n">
        <v>39745.81</v>
      </c>
      <c r="L214" s="161" t="n">
        <f aca="false">M214+N214</f>
        <v>27069.8</v>
      </c>
      <c r="M214" s="161" t="n">
        <v>20218.61</v>
      </c>
      <c r="N214" s="190" t="n">
        <v>6851.19</v>
      </c>
      <c r="O214" s="163" t="n">
        <v>11</v>
      </c>
      <c r="P214" s="161" t="n">
        <v>23371.27</v>
      </c>
      <c r="Q214" s="161" t="n">
        <f aca="false">R214+S214</f>
        <v>14877.54</v>
      </c>
      <c r="R214" s="161" t="n">
        <v>14877.54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33"/>
      <c r="B215" s="34"/>
      <c r="C215" s="34"/>
      <c r="D215" s="34"/>
      <c r="E215" s="34"/>
      <c r="F215" s="42" t="s">
        <v>247</v>
      </c>
      <c r="G215" s="164" t="s">
        <v>23</v>
      </c>
      <c r="H215" s="171" t="n">
        <v>7</v>
      </c>
      <c r="I215" s="165" t="n">
        <v>6</v>
      </c>
      <c r="J215" s="165" t="n">
        <v>6</v>
      </c>
      <c r="K215" s="166" t="n">
        <v>4581.2</v>
      </c>
      <c r="L215" s="166" t="n">
        <f aca="false">M215+N215</f>
        <v>4052.6</v>
      </c>
      <c r="M215" s="166" t="n">
        <v>4052.6</v>
      </c>
      <c r="N215" s="156"/>
      <c r="O215" s="168" t="n">
        <v>8</v>
      </c>
      <c r="P215" s="166" t="n">
        <v>15505.6</v>
      </c>
      <c r="Q215" s="166" t="n">
        <v>14800.8</v>
      </c>
      <c r="R215" s="166" t="n">
        <v>14800.8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.75" hidden="false" customHeight="true" outlineLevel="0" collapsed="false">
      <c r="A216" s="17"/>
      <c r="B216" s="18" t="s">
        <v>137</v>
      </c>
      <c r="C216" s="19" t="s">
        <v>20</v>
      </c>
      <c r="D216" s="19"/>
      <c r="E216" s="19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14</v>
      </c>
      <c r="P216" s="149" t="n">
        <v>46258.85</v>
      </c>
      <c r="Q216" s="149" t="n">
        <f aca="false">R216+S216</f>
        <v>0</v>
      </c>
      <c r="R216" s="149"/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20.25" hidden="false" customHeight="true" outlineLevel="0" collapsed="false">
      <c r="A217" s="17"/>
      <c r="B217" s="18"/>
      <c r="C217" s="18"/>
      <c r="D217" s="18"/>
      <c r="E217" s="18"/>
      <c r="F217" s="26" t="s">
        <v>286</v>
      </c>
      <c r="G217" s="152" t="s">
        <v>26</v>
      </c>
      <c r="H217" s="153" t="n">
        <v>9</v>
      </c>
      <c r="I217" s="154" t="n">
        <v>2</v>
      </c>
      <c r="J217" s="154" t="n">
        <v>2</v>
      </c>
      <c r="K217" s="155" t="n">
        <v>2554.9</v>
      </c>
      <c r="L217" s="155" t="n">
        <f aca="false">M217+N217</f>
        <v>0</v>
      </c>
      <c r="M217" s="155"/>
      <c r="N217" s="156"/>
      <c r="O217" s="157" t="n">
        <v>4</v>
      </c>
      <c r="P217" s="155"/>
      <c r="Q217" s="155" t="n">
        <f aca="false">R217+S217</f>
        <v>0</v>
      </c>
      <c r="R217" s="155"/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54"/>
      <c r="B218" s="55" t="s">
        <v>138</v>
      </c>
      <c r="C218" s="56" t="s">
        <v>33</v>
      </c>
      <c r="D218" s="56" t="s">
        <v>139</v>
      </c>
      <c r="E218" s="56" t="s">
        <v>25</v>
      </c>
      <c r="F218" s="36"/>
      <c r="G218" s="146" t="s">
        <v>22</v>
      </c>
      <c r="H218" s="169"/>
      <c r="I218" s="160"/>
      <c r="J218" s="160"/>
      <c r="K218" s="161"/>
      <c r="L218" s="161" t="n">
        <f aca="false">M218+N218</f>
        <v>0</v>
      </c>
      <c r="M218" s="161"/>
      <c r="N218" s="190"/>
      <c r="O218" s="163"/>
      <c r="P218" s="161"/>
      <c r="Q218" s="161" t="n">
        <f aca="false">R218+S218</f>
        <v>0</v>
      </c>
      <c r="R218" s="161"/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54"/>
      <c r="B219" s="55"/>
      <c r="C219" s="55"/>
      <c r="D219" s="55"/>
      <c r="E219" s="55"/>
      <c r="F219" s="26" t="s">
        <v>214</v>
      </c>
      <c r="G219" s="152" t="s">
        <v>26</v>
      </c>
      <c r="H219" s="171" t="n">
        <v>6</v>
      </c>
      <c r="I219" s="154" t="n">
        <v>2</v>
      </c>
      <c r="J219" s="154" t="n">
        <v>2</v>
      </c>
      <c r="K219" s="155" t="n">
        <v>4158.32</v>
      </c>
      <c r="L219" s="155" t="n">
        <f aca="false">M219+N219</f>
        <v>4158.32</v>
      </c>
      <c r="M219" s="155" t="n">
        <f aca="false">2466.8+1691.52</f>
        <v>4158.32</v>
      </c>
      <c r="N219" s="156"/>
      <c r="O219" s="157"/>
      <c r="P219" s="155"/>
      <c r="Q219" s="155" t="n">
        <f aca="false">R219+S219</f>
        <v>0</v>
      </c>
      <c r="R219" s="155"/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true" outlineLevel="0" collapsed="false">
      <c r="A220" s="33"/>
      <c r="B220" s="34" t="s">
        <v>140</v>
      </c>
      <c r="C220" s="35" t="s">
        <v>20</v>
      </c>
      <c r="D220" s="35"/>
      <c r="E220" s="35" t="s">
        <v>141</v>
      </c>
      <c r="F220" s="36"/>
      <c r="G220" s="146" t="s">
        <v>22</v>
      </c>
      <c r="H220" s="159" t="n">
        <v>16</v>
      </c>
      <c r="I220" s="160" t="n">
        <v>14</v>
      </c>
      <c r="J220" s="160" t="n">
        <v>21</v>
      </c>
      <c r="K220" s="161" t="n">
        <v>33782.9</v>
      </c>
      <c r="L220" s="161" t="n">
        <f aca="false">M220+N220</f>
        <v>16759.36</v>
      </c>
      <c r="M220" s="161" t="n">
        <v>16759.36</v>
      </c>
      <c r="N220" s="190"/>
      <c r="O220" s="163" t="n">
        <v>12</v>
      </c>
      <c r="P220" s="161" t="n">
        <v>72912.46</v>
      </c>
      <c r="Q220" s="161" t="n">
        <f aca="false">R220+S220</f>
        <v>65251.23</v>
      </c>
      <c r="R220" s="161" t="n">
        <v>24064.99</v>
      </c>
      <c r="S220" s="190" t="n">
        <v>41186.24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215</v>
      </c>
      <c r="G221" s="164" t="s">
        <v>26</v>
      </c>
      <c r="H221" s="175" t="n">
        <v>2</v>
      </c>
      <c r="I221" s="165"/>
      <c r="J221" s="165"/>
      <c r="K221" s="166"/>
      <c r="L221" s="166" t="n">
        <f aca="false">M221+N221</f>
        <v>0</v>
      </c>
      <c r="M221" s="166"/>
      <c r="N221" s="156"/>
      <c r="O221" s="168"/>
      <c r="P221" s="166"/>
      <c r="Q221" s="166" t="n">
        <f aca="false">R221+S221</f>
        <v>0</v>
      </c>
      <c r="R221" s="166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251</v>
      </c>
      <c r="C222" s="19" t="s">
        <v>20</v>
      </c>
      <c r="D222" s="19"/>
      <c r="E222" s="19" t="s">
        <v>116</v>
      </c>
      <c r="F222" s="20"/>
      <c r="G222" s="146" t="s">
        <v>22</v>
      </c>
      <c r="H222" s="173" t="n">
        <v>6</v>
      </c>
      <c r="I222" s="148" t="n">
        <v>3</v>
      </c>
      <c r="J222" s="148" t="n">
        <v>3</v>
      </c>
      <c r="K222" s="149" t="n">
        <v>3851.92</v>
      </c>
      <c r="L222" s="166" t="n">
        <f aca="false">M222+N222</f>
        <v>3851.92</v>
      </c>
      <c r="M222" s="149"/>
      <c r="N222" s="190" t="n">
        <v>3851.92</v>
      </c>
      <c r="O222" s="206"/>
      <c r="P222" s="149"/>
      <c r="Q222" s="149"/>
      <c r="R222" s="149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17"/>
      <c r="B223" s="18"/>
      <c r="C223" s="18"/>
      <c r="D223" s="18"/>
      <c r="E223" s="18"/>
      <c r="F223" s="26" t="s">
        <v>252</v>
      </c>
      <c r="G223" s="152" t="s">
        <v>26</v>
      </c>
      <c r="H223" s="174" t="n">
        <v>7</v>
      </c>
      <c r="I223" s="154"/>
      <c r="J223" s="154"/>
      <c r="K223" s="155"/>
      <c r="L223" s="166" t="n">
        <f aca="false">M223+N223</f>
        <v>0</v>
      </c>
      <c r="M223" s="155"/>
      <c r="N223" s="156"/>
      <c r="O223" s="209"/>
      <c r="P223" s="155"/>
      <c r="Q223" s="155"/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142</v>
      </c>
      <c r="C224" s="56" t="s">
        <v>20</v>
      </c>
      <c r="D224" s="56"/>
      <c r="E224" s="56" t="s">
        <v>25</v>
      </c>
      <c r="F224" s="36"/>
      <c r="G224" s="158" t="s">
        <v>22</v>
      </c>
      <c r="H224" s="173" t="n">
        <v>5</v>
      </c>
      <c r="I224" s="148" t="n">
        <v>4</v>
      </c>
      <c r="J224" s="148" t="n">
        <v>4</v>
      </c>
      <c r="K224" s="149" t="n">
        <v>3418.28</v>
      </c>
      <c r="L224" s="149" t="n">
        <f aca="false">M224+N224</f>
        <v>3418.28</v>
      </c>
      <c r="M224" s="149" t="n">
        <v>3418.28</v>
      </c>
      <c r="N224" s="190"/>
      <c r="O224" s="228" t="n">
        <v>6</v>
      </c>
      <c r="P224" s="161" t="n">
        <v>10969.43</v>
      </c>
      <c r="Q224" s="161" t="n">
        <f aca="false">R224+S224</f>
        <v>8844.46</v>
      </c>
      <c r="R224" s="161" t="n">
        <v>8844.46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42" t="s">
        <v>216</v>
      </c>
      <c r="G225" s="164" t="s">
        <v>26</v>
      </c>
      <c r="H225" s="177" t="n">
        <v>9</v>
      </c>
      <c r="I225" s="165" t="n">
        <v>4</v>
      </c>
      <c r="J225" s="165" t="n">
        <v>4</v>
      </c>
      <c r="K225" s="166" t="n">
        <v>8384.1</v>
      </c>
      <c r="L225" s="166" t="n">
        <f aca="false">M225+N225</f>
        <v>5990.8</v>
      </c>
      <c r="M225" s="166" t="n">
        <f aca="false">5167.21+823.59</f>
        <v>5990.8</v>
      </c>
      <c r="N225" s="167"/>
      <c r="O225" s="238" t="n">
        <v>12</v>
      </c>
      <c r="P225" s="166" t="n">
        <v>8633.8</v>
      </c>
      <c r="Q225" s="166" t="n">
        <f aca="false">R225+S225</f>
        <v>8633.8</v>
      </c>
      <c r="R225" s="166" t="n">
        <f aca="false">823.59+1233.4+2819.2+3757.61</f>
        <v>8633.8</v>
      </c>
      <c r="S225" s="167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287</v>
      </c>
      <c r="C226" s="56" t="s">
        <v>20</v>
      </c>
      <c r="D226" s="19"/>
      <c r="E226" s="56" t="s">
        <v>25</v>
      </c>
      <c r="F226" s="20"/>
      <c r="G226" s="146" t="s">
        <v>22</v>
      </c>
      <c r="H226" s="147"/>
      <c r="I226" s="148"/>
      <c r="J226" s="148"/>
      <c r="K226" s="149"/>
      <c r="L226" s="149" t="n">
        <f aca="false">M226+N226</f>
        <v>0</v>
      </c>
      <c r="M226" s="149"/>
      <c r="N226" s="150"/>
      <c r="O226" s="206"/>
      <c r="P226" s="149"/>
      <c r="Q226" s="149" t="n">
        <f aca="false">R226+S226</f>
        <v>0</v>
      </c>
      <c r="R226" s="149"/>
      <c r="S226" s="15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288</v>
      </c>
      <c r="G227" s="152" t="s">
        <v>26</v>
      </c>
      <c r="H227" s="176" t="n">
        <v>5</v>
      </c>
      <c r="I227" s="154" t="n">
        <v>3</v>
      </c>
      <c r="J227" s="154" t="n">
        <v>3</v>
      </c>
      <c r="K227" s="155" t="n">
        <v>3171.6</v>
      </c>
      <c r="L227" s="155" t="n">
        <f aca="false">M227+N227</f>
        <v>3171.6</v>
      </c>
      <c r="M227" s="155" t="n">
        <f aca="false">3171.6</f>
        <v>3171.6</v>
      </c>
      <c r="N227" s="156"/>
      <c r="O227" s="209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33"/>
      <c r="B228" s="34" t="s">
        <v>143</v>
      </c>
      <c r="C228" s="35" t="s">
        <v>20</v>
      </c>
      <c r="D228" s="35"/>
      <c r="E228" s="35" t="s">
        <v>25</v>
      </c>
      <c r="F228" s="36"/>
      <c r="G228" s="158" t="s">
        <v>22</v>
      </c>
      <c r="H228" s="169" t="n">
        <v>1</v>
      </c>
      <c r="I228" s="160"/>
      <c r="J228" s="160"/>
      <c r="K228" s="161"/>
      <c r="L228" s="161" t="n">
        <f aca="false">M228+N228</f>
        <v>0</v>
      </c>
      <c r="M228" s="161"/>
      <c r="N228" s="190"/>
      <c r="O228" s="163" t="n">
        <v>1</v>
      </c>
      <c r="P228" s="161" t="n">
        <v>1515.67</v>
      </c>
      <c r="Q228" s="161" t="n">
        <f aca="false">R228+S228</f>
        <v>1515.67</v>
      </c>
      <c r="R228" s="161" t="n">
        <v>1515.67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34"/>
      <c r="C229" s="34"/>
      <c r="D229" s="34"/>
      <c r="E229" s="34"/>
      <c r="F229" s="42" t="s">
        <v>217</v>
      </c>
      <c r="G229" s="164" t="s">
        <v>26</v>
      </c>
      <c r="H229" s="171" t="n">
        <v>8</v>
      </c>
      <c r="I229" s="165" t="n">
        <v>1</v>
      </c>
      <c r="J229" s="165" t="n">
        <v>1</v>
      </c>
      <c r="K229" s="166" t="n">
        <v>4970</v>
      </c>
      <c r="L229" s="166" t="n">
        <f aca="false">M229+N229</f>
        <v>11100.6</v>
      </c>
      <c r="M229" s="166" t="n">
        <f aca="false">704.8+10395.8</f>
        <v>11100.6</v>
      </c>
      <c r="N229" s="156"/>
      <c r="O229" s="168" t="n">
        <v>7</v>
      </c>
      <c r="P229" s="166" t="n">
        <v>34775.2</v>
      </c>
      <c r="Q229" s="166" t="n">
        <f aca="false">R229+S229</f>
        <v>21496.4</v>
      </c>
      <c r="R229" s="166" t="n">
        <f aca="false">704.8+13038.8+511.81</f>
        <v>14255.41</v>
      </c>
      <c r="S229" s="156" t="n">
        <v>7240.99</v>
      </c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144</v>
      </c>
      <c r="C230" s="19" t="s">
        <v>20</v>
      </c>
      <c r="D230" s="19"/>
      <c r="E230" s="19" t="s">
        <v>81</v>
      </c>
      <c r="F230" s="20"/>
      <c r="G230" s="146" t="s">
        <v>22</v>
      </c>
      <c r="H230" s="159" t="n">
        <v>13</v>
      </c>
      <c r="I230" s="148" t="n">
        <v>8</v>
      </c>
      <c r="J230" s="148" t="n">
        <v>9</v>
      </c>
      <c r="K230" s="149" t="n">
        <v>8917.05</v>
      </c>
      <c r="L230" s="149" t="n">
        <f aca="false">M230+N230</f>
        <v>7588.94</v>
      </c>
      <c r="M230" s="149" t="n">
        <v>7588.94</v>
      </c>
      <c r="N230" s="190"/>
      <c r="O230" s="151" t="n">
        <v>6</v>
      </c>
      <c r="P230" s="149" t="n">
        <v>24751.07</v>
      </c>
      <c r="Q230" s="149" t="n">
        <f aca="false">R230+S230</f>
        <v>16284.3</v>
      </c>
      <c r="R230" s="149" t="n">
        <v>16284.3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218</v>
      </c>
      <c r="G231" s="152" t="s">
        <v>26</v>
      </c>
      <c r="H231" s="171" t="n">
        <v>7</v>
      </c>
      <c r="I231" s="154" t="n">
        <v>3</v>
      </c>
      <c r="J231" s="154" t="n">
        <v>3</v>
      </c>
      <c r="K231" s="155" t="n">
        <v>5341.3</v>
      </c>
      <c r="L231" s="155" t="n">
        <f aca="false">M231+N231</f>
        <v>4052.6</v>
      </c>
      <c r="M231" s="155" t="n">
        <f aca="false">4052.6</f>
        <v>4052.6</v>
      </c>
      <c r="N231" s="156"/>
      <c r="O231" s="157" t="n">
        <v>2</v>
      </c>
      <c r="P231" s="155" t="s">
        <v>151</v>
      </c>
      <c r="Q231" s="155" t="n">
        <f aca="false">R231+S231</f>
        <v>4493.1</v>
      </c>
      <c r="R231" s="155" t="n">
        <f aca="false">4493.1</f>
        <v>4493.1</v>
      </c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true" outlineLevel="0" collapsed="false">
      <c r="A232" s="33"/>
      <c r="B232" s="34" t="s">
        <v>145</v>
      </c>
      <c r="C232" s="35" t="s">
        <v>20</v>
      </c>
      <c r="D232" s="35"/>
      <c r="E232" s="35" t="s">
        <v>98</v>
      </c>
      <c r="F232" s="36"/>
      <c r="G232" s="146" t="s">
        <v>22</v>
      </c>
      <c r="H232" s="169"/>
      <c r="I232" s="160"/>
      <c r="J232" s="160"/>
      <c r="K232" s="161"/>
      <c r="L232" s="161" t="n">
        <f aca="false">M232+N232</f>
        <v>0</v>
      </c>
      <c r="M232" s="161"/>
      <c r="N232" s="190"/>
      <c r="O232" s="163"/>
      <c r="P232" s="161"/>
      <c r="Q232" s="161" t="n">
        <f aca="false">R232+S232</f>
        <v>0</v>
      </c>
      <c r="R232" s="161"/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71"/>
      <c r="G233" s="164" t="s">
        <v>23</v>
      </c>
      <c r="H233" s="175"/>
      <c r="I233" s="165"/>
      <c r="J233" s="165"/>
      <c r="K233" s="166"/>
      <c r="L233" s="166" t="n">
        <f aca="false">M233+N233</f>
        <v>0</v>
      </c>
      <c r="M233" s="166"/>
      <c r="N233" s="156"/>
      <c r="O233" s="168"/>
      <c r="P233" s="166"/>
      <c r="Q233" s="166" t="n">
        <f aca="false">R233+S233</f>
        <v>0</v>
      </c>
      <c r="R233" s="166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true" outlineLevel="0" collapsed="false">
      <c r="A234" s="17"/>
      <c r="B234" s="18" t="s">
        <v>146</v>
      </c>
      <c r="C234" s="19" t="s">
        <v>20</v>
      </c>
      <c r="D234" s="19"/>
      <c r="E234" s="19" t="s">
        <v>25</v>
      </c>
      <c r="F234" s="22"/>
      <c r="G234" s="146" t="s">
        <v>22</v>
      </c>
      <c r="H234" s="173" t="n">
        <v>12</v>
      </c>
      <c r="I234" s="148" t="n">
        <v>8</v>
      </c>
      <c r="J234" s="148" t="n">
        <v>10</v>
      </c>
      <c r="K234" s="149" t="n">
        <v>10667.58</v>
      </c>
      <c r="L234" s="149" t="n">
        <f aca="false">M234+N234</f>
        <v>10138.98</v>
      </c>
      <c r="M234" s="149" t="n">
        <v>6699.12</v>
      </c>
      <c r="N234" s="190" t="n">
        <v>3439.86</v>
      </c>
      <c r="O234" s="206" t="n">
        <v>2</v>
      </c>
      <c r="P234" s="149" t="n">
        <v>15606.38</v>
      </c>
      <c r="Q234" s="149" t="n">
        <f aca="false">R234+S234</f>
        <v>15606.38</v>
      </c>
      <c r="R234" s="149" t="n">
        <v>1546.68</v>
      </c>
      <c r="S234" s="190" t="n">
        <v>14059.7</v>
      </c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42" t="s">
        <v>219</v>
      </c>
      <c r="G235" s="164" t="s">
        <v>26</v>
      </c>
      <c r="H235" s="178" t="n">
        <v>2</v>
      </c>
      <c r="I235" s="165" t="n">
        <v>1</v>
      </c>
      <c r="J235" s="165" t="n">
        <v>1</v>
      </c>
      <c r="K235" s="166" t="n">
        <v>1585.8</v>
      </c>
      <c r="L235" s="166" t="n">
        <f aca="false">M235+N235</f>
        <v>1585.8</v>
      </c>
      <c r="M235" s="166" t="n">
        <f aca="false">1585.8</f>
        <v>1585.8</v>
      </c>
      <c r="N235" s="167"/>
      <c r="O235" s="238" t="n">
        <v>1</v>
      </c>
      <c r="P235" s="166" t="n">
        <v>1585.8</v>
      </c>
      <c r="Q235" s="166" t="n">
        <f aca="false">R235+S235</f>
        <v>1585.8</v>
      </c>
      <c r="R235" s="166" t="n">
        <v>1585.8</v>
      </c>
      <c r="S235" s="167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289</v>
      </c>
      <c r="C236" s="19"/>
      <c r="D236" s="19"/>
      <c r="E236" s="19"/>
      <c r="F236" s="20"/>
      <c r="G236" s="146" t="s">
        <v>22</v>
      </c>
      <c r="H236" s="173" t="n">
        <v>5</v>
      </c>
      <c r="I236" s="148" t="n">
        <v>1</v>
      </c>
      <c r="J236" s="148" t="n">
        <v>2</v>
      </c>
      <c r="K236" s="149" t="n">
        <v>2643</v>
      </c>
      <c r="L236" s="149" t="n">
        <f aca="false">M236+N236</f>
        <v>2643</v>
      </c>
      <c r="M236" s="149"/>
      <c r="N236" s="224" t="n">
        <v>2643</v>
      </c>
      <c r="O236" s="151"/>
      <c r="P236" s="149"/>
      <c r="Q236" s="149" t="n">
        <f aca="false">R236+S236</f>
        <v>0</v>
      </c>
      <c r="R236" s="149"/>
      <c r="S236" s="15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57"/>
      <c r="G237" s="152" t="s">
        <v>23</v>
      </c>
      <c r="H237" s="174" t="n">
        <v>2</v>
      </c>
      <c r="I237" s="154" t="n">
        <v>1</v>
      </c>
      <c r="J237" s="154" t="n">
        <v>1</v>
      </c>
      <c r="K237" s="155" t="n">
        <v>2325.84</v>
      </c>
      <c r="L237" s="155" t="n">
        <v>2325.84</v>
      </c>
      <c r="M237" s="155" t="n">
        <v>2325.84</v>
      </c>
      <c r="N237" s="226"/>
      <c r="O237" s="157"/>
      <c r="P237" s="155"/>
      <c r="Q237" s="155" t="n">
        <f aca="false">R237+S237</f>
        <v>0</v>
      </c>
      <c r="R237" s="155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54"/>
      <c r="B238" s="55" t="s">
        <v>147</v>
      </c>
      <c r="C238" s="56" t="s">
        <v>20</v>
      </c>
      <c r="D238" s="56"/>
      <c r="E238" s="56" t="s">
        <v>25</v>
      </c>
      <c r="F238" s="97"/>
      <c r="G238" s="158" t="s">
        <v>22</v>
      </c>
      <c r="H238" s="159" t="n">
        <v>4</v>
      </c>
      <c r="I238" s="160" t="n">
        <v>3</v>
      </c>
      <c r="J238" s="160" t="n">
        <v>3</v>
      </c>
      <c r="K238" s="161" t="n">
        <v>2093.26</v>
      </c>
      <c r="L238" s="161" t="n">
        <f aca="false">M238+N238</f>
        <v>2093.26</v>
      </c>
      <c r="M238" s="161" t="n">
        <v>2093.26</v>
      </c>
      <c r="N238" s="190"/>
      <c r="O238" s="163" t="n">
        <v>4</v>
      </c>
      <c r="P238" s="161" t="n">
        <v>16436.74</v>
      </c>
      <c r="Q238" s="161" t="n">
        <f aca="false">R238+S238</f>
        <v>16436.74</v>
      </c>
      <c r="R238" s="161" t="n">
        <v>16436.74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54"/>
      <c r="B239" s="55"/>
      <c r="C239" s="55"/>
      <c r="D239" s="55"/>
      <c r="E239" s="55"/>
      <c r="F239" s="26" t="s">
        <v>220</v>
      </c>
      <c r="G239" s="152" t="s">
        <v>26</v>
      </c>
      <c r="H239" s="171" t="n">
        <v>12</v>
      </c>
      <c r="I239" s="154" t="n">
        <v>2</v>
      </c>
      <c r="J239" s="154" t="n">
        <v>3</v>
      </c>
      <c r="K239" s="155" t="n">
        <v>9162.4</v>
      </c>
      <c r="L239" s="189" t="n">
        <f aca="false">M239+N239</f>
        <v>4228.8</v>
      </c>
      <c r="M239" s="155" t="n">
        <f aca="false">528.6+3700.2</f>
        <v>4228.8</v>
      </c>
      <c r="N239" s="167"/>
      <c r="O239" s="157" t="n">
        <v>5</v>
      </c>
      <c r="P239" s="155" t="n">
        <v>18677.2</v>
      </c>
      <c r="Q239" s="161" t="n">
        <f aca="false">R239+S239</f>
        <v>18677.2</v>
      </c>
      <c r="R239" s="155" t="n">
        <f aca="false">7048+528.6+5638.4+5462.2</f>
        <v>18677.2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148</v>
      </c>
      <c r="C240" s="19" t="s">
        <v>20</v>
      </c>
      <c r="D240" s="19"/>
      <c r="E240" s="19" t="s">
        <v>21</v>
      </c>
      <c r="F240" s="22"/>
      <c r="G240" s="146" t="s">
        <v>22</v>
      </c>
      <c r="H240" s="173" t="n">
        <v>2</v>
      </c>
      <c r="I240" s="148" t="n">
        <v>1</v>
      </c>
      <c r="J240" s="148" t="n">
        <v>1</v>
      </c>
      <c r="K240" s="149" t="n">
        <v>436.1</v>
      </c>
      <c r="L240" s="149" t="n">
        <f aca="false">M240+N240</f>
        <v>436.1</v>
      </c>
      <c r="M240" s="149" t="n">
        <v>436.1</v>
      </c>
      <c r="N240" s="198"/>
      <c r="O240" s="151" t="n">
        <v>1</v>
      </c>
      <c r="P240" s="149" t="n">
        <v>13232.99</v>
      </c>
      <c r="Q240" s="149" t="n">
        <f aca="false">R240+S240</f>
        <v>13232.99</v>
      </c>
      <c r="R240" s="149" t="n">
        <v>13232.99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26" t="s">
        <v>248</v>
      </c>
      <c r="G241" s="152" t="s">
        <v>23</v>
      </c>
      <c r="H241" s="171" t="n">
        <v>2</v>
      </c>
      <c r="I241" s="154"/>
      <c r="J241" s="154"/>
      <c r="K241" s="155"/>
      <c r="L241" s="155" t="n">
        <f aca="false">M241+N241</f>
        <v>0</v>
      </c>
      <c r="M241" s="155"/>
      <c r="N241" s="156"/>
      <c r="O241" s="157" t="n">
        <v>1</v>
      </c>
      <c r="P241" s="155" t="n">
        <v>572.65</v>
      </c>
      <c r="Q241" s="155" t="n">
        <v>572.65</v>
      </c>
      <c r="R241" s="155" t="n">
        <v>572.65</v>
      </c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99"/>
      <c r="B242" s="100" t="s">
        <v>149</v>
      </c>
      <c r="C242" s="100"/>
      <c r="D242" s="100"/>
      <c r="E242" s="100"/>
      <c r="F242" s="100"/>
      <c r="G242" s="212"/>
      <c r="H242" s="213" t="n">
        <f aca="false">SUM(H9:H241)</f>
        <v>1836</v>
      </c>
      <c r="I242" s="214" t="n">
        <f aca="false">SUM(I9:I241)</f>
        <v>1109</v>
      </c>
      <c r="J242" s="214" t="n">
        <f aca="false">SUM(J9:J241)</f>
        <v>1295</v>
      </c>
      <c r="K242" s="215" t="n">
        <f aca="false">SUM(K9:K241)</f>
        <v>2128290.28</v>
      </c>
      <c r="L242" s="215" t="n">
        <f aca="false">SUM(L9:L241)</f>
        <v>1483739.5</v>
      </c>
      <c r="M242" s="215" t="n">
        <f aca="false">SUM(M9:M241)</f>
        <v>1069324.26</v>
      </c>
      <c r="N242" s="243" t="n">
        <f aca="false">SUM(N9:N241)</f>
        <v>424018.14</v>
      </c>
      <c r="O242" s="244" t="n">
        <f aca="false">SUM(O9:O241)</f>
        <v>1052</v>
      </c>
      <c r="P242" s="245" t="n">
        <f aca="false">SUM(P9:P241)</f>
        <v>3538757.55</v>
      </c>
      <c r="Q242" s="245" t="n">
        <f aca="false">SUM(Q9:Q241)</f>
        <v>2973620.33</v>
      </c>
      <c r="R242" s="245" t="n">
        <f aca="false">SUM(R9:R241)</f>
        <v>2385731.14</v>
      </c>
      <c r="S242" s="246" t="n">
        <f aca="false">SUM(S9:S241)</f>
        <v>587889.19</v>
      </c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I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 t="s">
        <v>290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2"/>
      <c r="B246" s="2"/>
      <c r="C246" s="2"/>
      <c r="D246" s="2"/>
      <c r="E246" s="2"/>
      <c r="F246" s="103"/>
      <c r="G246" s="104" t="s">
        <v>5</v>
      </c>
      <c r="H246" s="104"/>
      <c r="I246" s="104"/>
      <c r="J246" s="104"/>
      <c r="K246" s="104"/>
      <c r="L246" s="104"/>
      <c r="M246" s="104"/>
      <c r="N246" s="104" t="s">
        <v>6</v>
      </c>
      <c r="O246" s="104"/>
      <c r="P246" s="104"/>
      <c r="Q246" s="104"/>
      <c r="R246" s="104"/>
      <c r="S246" s="105" t="s">
        <v>150</v>
      </c>
      <c r="T246" s="105" t="s">
        <v>253</v>
      </c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103"/>
      <c r="G247" s="106" t="s">
        <v>13</v>
      </c>
      <c r="H247" s="106" t="s">
        <v>14</v>
      </c>
      <c r="I247" s="106" t="s">
        <v>15</v>
      </c>
      <c r="J247" s="106" t="s">
        <v>226</v>
      </c>
      <c r="K247" s="106" t="s">
        <v>16</v>
      </c>
      <c r="L247" s="106" t="s">
        <v>17</v>
      </c>
      <c r="M247" s="106" t="s">
        <v>18</v>
      </c>
      <c r="N247" s="106" t="s">
        <v>15</v>
      </c>
      <c r="O247" s="106" t="s">
        <v>226</v>
      </c>
      <c r="P247" s="106" t="s">
        <v>16</v>
      </c>
      <c r="Q247" s="106" t="s">
        <v>17</v>
      </c>
      <c r="R247" s="106" t="s">
        <v>18</v>
      </c>
      <c r="S247" s="105"/>
      <c r="T247" s="105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107" t="s">
        <v>22</v>
      </c>
      <c r="G248" s="108" t="n">
        <f aca="false">SUMIF($G$9:$G$241,$F$248,H9:H241)</f>
        <v>1226</v>
      </c>
      <c r="H248" s="108" t="n">
        <f aca="false">SUMIF($G$9:$G$241,$F$248,I9:I241)</f>
        <v>851</v>
      </c>
      <c r="I248" s="108" t="n">
        <f aca="false">SUMIF($G$9:$G$241,$F$248,J9:J241)</f>
        <v>1033</v>
      </c>
      <c r="J248" s="110" t="n">
        <f aca="false">SUMIF($G$9:$G$241,F248,$K$9:$K$241)</f>
        <v>1707892.1</v>
      </c>
      <c r="K248" s="110" t="n">
        <f aca="false">SUMIF($G$9:$G$241,$F$248,L9:L241)</f>
        <v>1233720.65</v>
      </c>
      <c r="L248" s="110" t="n">
        <f aca="false">SUMIF($G$9:$G$241,$F$248,M9:M241)</f>
        <v>815076.61</v>
      </c>
      <c r="M248" s="110" t="n">
        <f aca="false">SUMIF($G$9:$G$241,$F$248,N9:N241)</f>
        <v>418644.04</v>
      </c>
      <c r="N248" s="108" t="n">
        <f aca="false">SUMIF($G$9:$G$241,$F$248,O9:O241)</f>
        <v>701</v>
      </c>
      <c r="O248" s="110" t="n">
        <f aca="false">SUMIF($G$9:$G$241,F248,$P$9:$P$241)</f>
        <v>2763758.17</v>
      </c>
      <c r="P248" s="110" t="n">
        <f aca="false">SUMIF($G$9:$G$241,$F$248,Q9:Q241)</f>
        <v>2309889.01</v>
      </c>
      <c r="Q248" s="110" t="n">
        <f aca="false">SUMIF($G$9:$G$241,$F$248,R9:R241)</f>
        <v>1729240.81</v>
      </c>
      <c r="R248" s="110" t="n">
        <f aca="false">SUMIF($G$9:$G$241,$F$248,S9:S241)</f>
        <v>580648.2</v>
      </c>
      <c r="S248" s="110" t="n">
        <f aca="false">Q248+L248</f>
        <v>2544317.42</v>
      </c>
      <c r="T248" s="111" t="n">
        <f aca="false">J248-L248+O248-Q248</f>
        <v>1927332.85</v>
      </c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107" t="s">
        <v>26</v>
      </c>
      <c r="G249" s="108" t="n">
        <f aca="false">SUMIF($G$9:$G$241,$F$249,H9:H241)</f>
        <v>383</v>
      </c>
      <c r="H249" s="108" t="n">
        <v>20</v>
      </c>
      <c r="I249" s="108" t="n">
        <f aca="false">SUMIF($G$9:$G$241,$F$249,J9:J241)</f>
        <v>144</v>
      </c>
      <c r="J249" s="110" t="n">
        <f aca="false">SUMIF($G$9:$G$241,F249,$K$9:$K$241)</f>
        <v>284963.32</v>
      </c>
      <c r="K249" s="110" t="n">
        <f aca="false">SUMIF($G$9:$G$241,$F$249,L9:L241)</f>
        <v>169930.04</v>
      </c>
      <c r="L249" s="110" t="n">
        <f aca="false">SUMIF($G$9:$G$241,$F$249,M9:M241)</f>
        <v>174158.84</v>
      </c>
      <c r="M249" s="110" t="n">
        <f aca="false">SUMIF($G$9:$G$241,$F$249,N9:N241)</f>
        <v>0</v>
      </c>
      <c r="N249" s="108" t="n">
        <f aca="false">SUMIF($G$9:$G$241,$F$249,O9:O241)</f>
        <v>239</v>
      </c>
      <c r="O249" s="110" t="n">
        <f aca="false">SUMIF($G$9:$G$241,F249,$P$9:$P$241)</f>
        <v>548193.01</v>
      </c>
      <c r="P249" s="110" t="n">
        <f aca="false">SUMIF($G$9:$G$241,$F$249,Q9:Q241)</f>
        <v>516554.15</v>
      </c>
      <c r="Q249" s="110" t="n">
        <f aca="false">SUMIF($G$9:$G$241,$F$249,R9:R241)</f>
        <v>509313.16</v>
      </c>
      <c r="R249" s="110" t="n">
        <f aca="false">SUMIF($G$9:$G$241,$F$249,S9:S241)</f>
        <v>7240.99</v>
      </c>
      <c r="S249" s="110" t="n">
        <f aca="false">Q249+L249</f>
        <v>683472</v>
      </c>
      <c r="T249" s="111" t="n">
        <f aca="false">J249-L249+O249-Q249</f>
        <v>149684.33</v>
      </c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107" t="s">
        <v>23</v>
      </c>
      <c r="G250" s="108" t="n">
        <f aca="false">SUMIF($G$9:$G$241,$F$250,H9:H241)</f>
        <v>227</v>
      </c>
      <c r="H250" s="108" t="n">
        <f aca="false">SUMIF($G$9:$G$241,$F$250,I9:I241)</f>
        <v>118</v>
      </c>
      <c r="I250" s="108" t="n">
        <f aca="false">SUMIF($G$9:$G$241,$F$250,J9:J241)</f>
        <v>118</v>
      </c>
      <c r="J250" s="110" t="n">
        <f aca="false">SUMIF($G$9:$G$241,F250,$K$9:$K$241)</f>
        <v>135434.86</v>
      </c>
      <c r="K250" s="110" t="n">
        <f aca="false">SUMIF($G$9:$G$241,$F$250,L9:L241)</f>
        <v>80088.81</v>
      </c>
      <c r="L250" s="110" t="n">
        <f aca="false">SUMIF($G$9:$G$241,$F$250,M9:M241)</f>
        <v>80088.81</v>
      </c>
      <c r="M250" s="110" t="n">
        <f aca="false">SUMIF($G$9:$G$241,$F$250,N9:N241)</f>
        <v>5374.1</v>
      </c>
      <c r="N250" s="108" t="n">
        <f aca="false">SUMIF($G$9:$G$241,$F$250,O9:O241)</f>
        <v>112</v>
      </c>
      <c r="O250" s="110" t="n">
        <f aca="false">SUMIF($G$9:$G$241,F250,$P$9:$P$241)</f>
        <v>226806.37</v>
      </c>
      <c r="P250" s="110" t="n">
        <f aca="false">SUMIF($G$9:$G$241,$F$250,Q9:Q241)</f>
        <v>147177.17</v>
      </c>
      <c r="Q250" s="110" t="n">
        <f aca="false">SUMIF($G$9:$G$241,$F$250,R9:R241)</f>
        <v>147177.17</v>
      </c>
      <c r="R250" s="110" t="n">
        <f aca="false">SUMIF($G$9:$G$241,$F$250,S9:S241)</f>
        <v>0</v>
      </c>
      <c r="S250" s="110" t="n">
        <f aca="false">Q250+L250</f>
        <v>227265.98</v>
      </c>
      <c r="T250" s="111" t="n">
        <f aca="false">J250-L250+O250-Q250</f>
        <v>134975.25</v>
      </c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16" t="n">
        <f aca="false">G250+G249+G248</f>
        <v>1836</v>
      </c>
      <c r="H251" s="216" t="n">
        <f aca="false">H250+H249+H248</f>
        <v>989</v>
      </c>
      <c r="I251" s="216" t="n">
        <f aca="false">I250+I249+I248</f>
        <v>1295</v>
      </c>
      <c r="J251" s="217" t="n">
        <f aca="false">J250+J249+J248</f>
        <v>2128290.28</v>
      </c>
      <c r="K251" s="217" t="n">
        <f aca="false">K250+K249+K248</f>
        <v>1483739.5</v>
      </c>
      <c r="L251" s="217" t="n">
        <f aca="false">L250+L249+L248</f>
        <v>1069324.26</v>
      </c>
      <c r="M251" s="217" t="n">
        <f aca="false">M250+M249+M248</f>
        <v>424018.14</v>
      </c>
      <c r="N251" s="216" t="n">
        <f aca="false">N250+N249+N248</f>
        <v>1052</v>
      </c>
      <c r="O251" s="217" t="n">
        <f aca="false">O250+O249+O248</f>
        <v>3538757.55</v>
      </c>
      <c r="P251" s="217" t="n">
        <f aca="false">P250+P249+P248</f>
        <v>2973620.33</v>
      </c>
      <c r="Q251" s="217" t="n">
        <f aca="false">Q250+Q249+Q248</f>
        <v>2385731.14</v>
      </c>
      <c r="R251" s="217" t="n">
        <f aca="false">R250+R249+R248</f>
        <v>587889.19</v>
      </c>
      <c r="S251" s="217" t="n">
        <f aca="false">S250+S249+S248</f>
        <v>3455055.4</v>
      </c>
      <c r="T251" s="217" t="n">
        <f aca="false">T250+T249+T248</f>
        <v>2211992.43</v>
      </c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K285" s="236"/>
    </row>
    <row r="286" customFormat="false" ht="15" hidden="false" customHeight="false" outlineLevel="0" collapsed="false">
      <c r="K286" s="236"/>
    </row>
    <row r="287" customFormat="false" ht="15" hidden="false" customHeight="false" outlineLevel="0" collapsed="false">
      <c r="K287" s="236"/>
    </row>
    <row r="288" customFormat="false" ht="15" hidden="false" customHeight="false" outlineLevel="0" collapsed="false">
      <c r="K288" s="236"/>
    </row>
    <row r="289" customFormat="false" ht="15" hidden="false" customHeight="false" outlineLevel="0" collapsed="false">
      <c r="K289" s="236"/>
    </row>
    <row r="290" customFormat="false" ht="15" hidden="false" customHeight="false" outlineLevel="0" collapsed="false">
      <c r="K290" s="236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F312" s="0" t="s">
        <v>22</v>
      </c>
      <c r="G312" s="0" t="n">
        <v>1226</v>
      </c>
      <c r="H312" s="247" t="n">
        <v>851</v>
      </c>
      <c r="I312" s="247" t="n">
        <v>1033</v>
      </c>
      <c r="J312" s="0" t="n">
        <v>1707892.1</v>
      </c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</sheetData>
  <mergeCells count="57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5"/>
    <mergeCell ref="B103:B105"/>
    <mergeCell ref="C103:C105"/>
    <mergeCell ref="D103:D105"/>
    <mergeCell ref="E103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7"/>
    <mergeCell ref="B135:B137"/>
    <mergeCell ref="C135:C137"/>
    <mergeCell ref="D135:D137"/>
    <mergeCell ref="E135:E137"/>
    <mergeCell ref="A138:A139"/>
    <mergeCell ref="B138:B139"/>
    <mergeCell ref="C138:C139"/>
    <mergeCell ref="D138:D139"/>
    <mergeCell ref="E138:E139"/>
    <mergeCell ref="A140:A142"/>
    <mergeCell ref="B140:B142"/>
    <mergeCell ref="C140:C142"/>
    <mergeCell ref="D140:D142"/>
    <mergeCell ref="E140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7"/>
    <mergeCell ref="B175:B177"/>
    <mergeCell ref="C175:C177"/>
    <mergeCell ref="D175:D177"/>
    <mergeCell ref="E175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B184:B185"/>
    <mergeCell ref="D184:D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F246:F247"/>
    <mergeCell ref="G246:M246"/>
    <mergeCell ref="N246:R246"/>
    <mergeCell ref="S246:S247"/>
    <mergeCell ref="T246:T247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9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23</v>
      </c>
      <c r="I11" s="160" t="n">
        <v>17</v>
      </c>
      <c r="J11" s="160" t="n">
        <v>29</v>
      </c>
      <c r="K11" s="161" t="n">
        <v>58793.86</v>
      </c>
      <c r="L11" s="161" t="n">
        <f aca="false">M11+N11</f>
        <v>58793.86</v>
      </c>
      <c r="M11" s="161" t="n">
        <v>58793.86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5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34</v>
      </c>
      <c r="K13" s="149" t="n">
        <v>47749.23</v>
      </c>
      <c r="L13" s="149" t="n">
        <f aca="false">M13+N13</f>
        <v>38950.58</v>
      </c>
      <c r="M13" s="149" t="n">
        <v>38950.58</v>
      </c>
      <c r="N13" s="249"/>
      <c r="O13" s="228" t="n">
        <v>5</v>
      </c>
      <c r="P13" s="161" t="n">
        <v>14423.5</v>
      </c>
      <c r="Q13" s="161" t="n">
        <f aca="false">R13+S13</f>
        <v>14423.5</v>
      </c>
      <c r="R13" s="161" t="n">
        <v>14423.5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11593.96</v>
      </c>
      <c r="M14" s="155" t="n">
        <f aca="false">1938.2+5638.4</f>
        <v>7576.6</v>
      </c>
      <c r="N14" s="156" t="n">
        <f aca="false">4017.36</f>
        <v>4017.36</v>
      </c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7224.2</v>
      </c>
      <c r="R15" s="149" t="n">
        <v>7224.2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19515.9</v>
      </c>
      <c r="Q16" s="166" t="n">
        <f aca="false">R16+S16</f>
        <v>23434.6</v>
      </c>
      <c r="R16" s="166" t="n">
        <f aca="false">10924.4+4933.6</f>
        <v>15858</v>
      </c>
      <c r="S16" s="167" t="n">
        <f aca="false">7576.6</f>
        <v>7576.6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0</v>
      </c>
      <c r="R17" s="149"/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6</v>
      </c>
      <c r="I19" s="160" t="n">
        <v>5</v>
      </c>
      <c r="J19" s="160" t="n">
        <v>6</v>
      </c>
      <c r="K19" s="161" t="n">
        <v>7035.06</v>
      </c>
      <c r="L19" s="161" t="n">
        <f aca="false">M19+N19</f>
        <v>0</v>
      </c>
      <c r="M19" s="161"/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5</v>
      </c>
      <c r="I20" s="154" t="n">
        <v>3</v>
      </c>
      <c r="J20" s="154" t="n">
        <v>3</v>
      </c>
      <c r="K20" s="155" t="n">
        <v>2828.1</v>
      </c>
      <c r="L20" s="155" t="n">
        <f aca="false">M20+N20</f>
        <v>704.8</v>
      </c>
      <c r="M20" s="155" t="n">
        <f aca="false">704.8</f>
        <v>704.8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20</v>
      </c>
      <c r="I21" s="160" t="n">
        <v>14</v>
      </c>
      <c r="J21" s="160" t="n">
        <v>16</v>
      </c>
      <c r="K21" s="161" t="n">
        <v>21199.65</v>
      </c>
      <c r="L21" s="161" t="n">
        <f aca="false">M21+N21</f>
        <v>14830.79</v>
      </c>
      <c r="M21" s="161" t="n">
        <v>13377.14</v>
      </c>
      <c r="N21" s="190" t="n">
        <v>1453.65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36873.8</v>
      </c>
      <c r="S21" s="190" t="n">
        <v>6706.42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1</v>
      </c>
      <c r="J22" s="154" t="n">
        <v>1</v>
      </c>
      <c r="K22" s="155" t="n">
        <v>1762</v>
      </c>
      <c r="L22" s="155" t="n">
        <f aca="false">M22+N22</f>
        <v>0</v>
      </c>
      <c r="M22" s="155"/>
      <c r="N22" s="156"/>
      <c r="O22" s="157" t="n">
        <v>3</v>
      </c>
      <c r="P22" s="155"/>
      <c r="Q22" s="155" t="n">
        <f aca="false">R22+S22</f>
        <v>4052.6</v>
      </c>
      <c r="R22" s="155"/>
      <c r="S22" s="167" t="n">
        <f aca="false">4052.6</f>
        <v>4052.6</v>
      </c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27</v>
      </c>
      <c r="I23" s="160" t="n">
        <v>18</v>
      </c>
      <c r="J23" s="160" t="n">
        <v>31</v>
      </c>
      <c r="K23" s="161" t="n">
        <v>43470.01</v>
      </c>
      <c r="L23" s="161" t="n">
        <f aca="false">M23+N23</f>
        <v>36599.36</v>
      </c>
      <c r="M23" s="161" t="n">
        <v>28289.78</v>
      </c>
      <c r="N23" s="190" t="n">
        <v>8309.58</v>
      </c>
      <c r="O23" s="151" t="n">
        <v>22</v>
      </c>
      <c r="P23" s="149" t="n">
        <v>47120.13</v>
      </c>
      <c r="Q23" s="149" t="n">
        <f aca="false">R23+S23</f>
        <v>47120.13</v>
      </c>
      <c r="R23" s="149" t="n">
        <v>34926.57</v>
      </c>
      <c r="S23" s="198" t="n">
        <v>12193.56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23</v>
      </c>
      <c r="I25" s="148" t="n">
        <v>19</v>
      </c>
      <c r="J25" s="148" t="n">
        <v>19</v>
      </c>
      <c r="K25" s="148" t="n">
        <v>7731.32</v>
      </c>
      <c r="L25" s="149" t="n">
        <f aca="false">M25+N25</f>
        <v>4140.7</v>
      </c>
      <c r="M25" s="149" t="n">
        <v>4140.7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5</v>
      </c>
      <c r="J26" s="154" t="n">
        <v>5</v>
      </c>
      <c r="K26" s="155" t="n">
        <v>8773.6</v>
      </c>
      <c r="L26" s="155" t="n">
        <f aca="false">M26+N26</f>
        <v>1656.9</v>
      </c>
      <c r="M26" s="155"/>
      <c r="N26" s="156" t="n">
        <v>1656.9</v>
      </c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24</v>
      </c>
      <c r="I27" s="160" t="n">
        <v>24</v>
      </c>
      <c r="J27" s="160" t="n">
        <v>36</v>
      </c>
      <c r="K27" s="161" t="n">
        <v>66484.39</v>
      </c>
      <c r="L27" s="161" t="n">
        <f aca="false">M27+N27</f>
        <v>43954.53</v>
      </c>
      <c r="M27" s="161" t="n">
        <v>43954.53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7</v>
      </c>
      <c r="I28" s="165" t="n">
        <v>4</v>
      </c>
      <c r="J28" s="165" t="n">
        <v>4</v>
      </c>
      <c r="K28" s="166" t="n">
        <v>3126.95</v>
      </c>
      <c r="L28" s="166" t="n">
        <f aca="false">M28+N28</f>
        <v>1409.6</v>
      </c>
      <c r="M28" s="166" t="n">
        <f aca="false">1409.6</f>
        <v>1409.6</v>
      </c>
      <c r="N28" s="156"/>
      <c r="O28" s="157" t="n">
        <v>12</v>
      </c>
      <c r="P28" s="155" t="n">
        <v>28368.2</v>
      </c>
      <c r="Q28" s="155" t="n">
        <f aca="false">R28+S28</f>
        <v>32949.4</v>
      </c>
      <c r="R28" s="155" t="n">
        <f aca="false">2995.4+14272.2+11100.6</f>
        <v>28368.2</v>
      </c>
      <c r="S28" s="156" t="n">
        <f aca="false">4581.2</f>
        <v>4581.2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19381.4</v>
      </c>
      <c r="Q30" s="166" t="n">
        <f aca="false">R30+S30</f>
        <v>44754.9</v>
      </c>
      <c r="R30" s="166" t="n">
        <f aca="false">5286+2290.6-23.95+9715.05</f>
        <v>17267.7</v>
      </c>
      <c r="S30" s="167" t="n">
        <f aca="false">27487.2</f>
        <v>27487.2</v>
      </c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3</v>
      </c>
      <c r="J34" s="165" t="n">
        <v>3</v>
      </c>
      <c r="K34" s="166" t="n">
        <v>8105.2</v>
      </c>
      <c r="L34" s="166" t="n">
        <v>2114.4</v>
      </c>
      <c r="M34" s="166" t="n">
        <v>2114.4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1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10</v>
      </c>
      <c r="J37" s="160" t="n">
        <v>11</v>
      </c>
      <c r="K37" s="161" t="n">
        <v>20211.1</v>
      </c>
      <c r="L37" s="161" t="n">
        <f aca="false">M37+N37</f>
        <v>16153.14</v>
      </c>
      <c r="M37" s="161" t="n">
        <v>16153.14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8</v>
      </c>
      <c r="I38" s="154" t="n">
        <v>5</v>
      </c>
      <c r="J38" s="154" t="n">
        <v>5</v>
      </c>
      <c r="K38" s="155" t="n">
        <v>9472.9</v>
      </c>
      <c r="L38" s="155" t="n">
        <f aca="false">M38+N38</f>
        <v>6343.2</v>
      </c>
      <c r="M38" s="155" t="n">
        <f aca="false">704.8+4405</f>
        <v>5109.8</v>
      </c>
      <c r="N38" s="156" t="n">
        <f aca="false">1233.4</f>
        <v>1233.4</v>
      </c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14</v>
      </c>
      <c r="J41" s="160" t="n">
        <v>20</v>
      </c>
      <c r="K41" s="161" t="n">
        <v>38560.9</v>
      </c>
      <c r="L41" s="161" t="n">
        <f aca="false">M41+N41</f>
        <v>18145.63</v>
      </c>
      <c r="M41" s="161" t="n">
        <v>18145.63</v>
      </c>
      <c r="N41" s="190"/>
      <c r="O41" s="151" t="n">
        <v>12</v>
      </c>
      <c r="P41" s="149" t="n">
        <v>84484.98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15</v>
      </c>
      <c r="I43" s="160" t="n">
        <v>11</v>
      </c>
      <c r="J43" s="160" t="n">
        <v>15</v>
      </c>
      <c r="K43" s="161" t="n">
        <v>36053.18</v>
      </c>
      <c r="L43" s="161" t="n">
        <f aca="false">M43+N43</f>
        <v>27872.38</v>
      </c>
      <c r="M43" s="161" t="n">
        <v>27872.38</v>
      </c>
      <c r="N43" s="190"/>
      <c r="O43" s="151" t="n">
        <v>16</v>
      </c>
      <c r="P43" s="149" t="n">
        <v>56737.45</v>
      </c>
      <c r="Q43" s="149" t="n">
        <f aca="false">R43+S43</f>
        <v>55419.47</v>
      </c>
      <c r="R43" s="149" t="n">
        <v>55419.47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8</v>
      </c>
      <c r="K45" s="149" t="n">
        <v>10827.88</v>
      </c>
      <c r="L45" s="149" t="n">
        <f aca="false">M45+N45</f>
        <v>2119.69</v>
      </c>
      <c r="M45" s="149" t="n">
        <v>2119.69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4</v>
      </c>
      <c r="P46" s="166" t="n">
        <v>13945.3</v>
      </c>
      <c r="Q46" s="166" t="n">
        <f aca="false">R46+S46</f>
        <v>10849.9</v>
      </c>
      <c r="R46" s="166" t="n">
        <f aca="false">10849.9</f>
        <v>10849.9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3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f aca="false">1233.4</f>
        <v>1233.4</v>
      </c>
      <c r="N48" s="156"/>
      <c r="O48" s="157" t="n">
        <v>4</v>
      </c>
      <c r="P48" s="155" t="n">
        <v>13567.4</v>
      </c>
      <c r="Q48" s="155" t="n">
        <f aca="false">R48+S48</f>
        <v>13567.4</v>
      </c>
      <c r="R48" s="155" t="n">
        <f aca="false">528.6+11453+1585.8</f>
        <v>13567.4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 t="n">
        <v>5976.7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52</v>
      </c>
      <c r="I53" s="148" t="n">
        <v>48</v>
      </c>
      <c r="J53" s="148" t="n">
        <v>48</v>
      </c>
      <c r="K53" s="149" t="n">
        <v>47680.98</v>
      </c>
      <c r="L53" s="149" t="n">
        <f aca="false">M53+N53</f>
        <v>39470.47</v>
      </c>
      <c r="M53" s="149" t="n">
        <v>39470.47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5</v>
      </c>
      <c r="I54" s="154" t="n">
        <v>3</v>
      </c>
      <c r="J54" s="154" t="n">
        <v>3</v>
      </c>
      <c r="K54" s="155" t="n">
        <v>15858</v>
      </c>
      <c r="L54" s="155" t="n">
        <f aca="false">M54+N54</f>
        <v>5459.8</v>
      </c>
      <c r="M54" s="155" t="n">
        <f aca="false">1409.6</f>
        <v>1409.6</v>
      </c>
      <c r="N54" s="156" t="n">
        <f aca="false">4050.2</f>
        <v>4050.2</v>
      </c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24</v>
      </c>
      <c r="I55" s="160" t="n">
        <v>19</v>
      </c>
      <c r="J55" s="160" t="n">
        <v>25</v>
      </c>
      <c r="K55" s="161" t="n">
        <v>49769.75</v>
      </c>
      <c r="L55" s="161" t="n">
        <f aca="false">M55+N55</f>
        <v>28323.14</v>
      </c>
      <c r="M55" s="161" t="n">
        <v>22712.05</v>
      </c>
      <c r="N55" s="190" t="n">
        <v>5611.09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54609.33</v>
      </c>
      <c r="S55" s="198" t="n">
        <v>21032.38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5</v>
      </c>
      <c r="I57" s="160" t="n">
        <v>3</v>
      </c>
      <c r="J57" s="160" t="n">
        <v>3</v>
      </c>
      <c r="K57" s="161" t="n">
        <v>4345.8</v>
      </c>
      <c r="L57" s="161" t="n">
        <f aca="false">M57+N57</f>
        <v>0</v>
      </c>
      <c r="M57" s="161"/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4</v>
      </c>
      <c r="I58" s="165" t="n">
        <v>1</v>
      </c>
      <c r="J58" s="165" t="n">
        <v>1</v>
      </c>
      <c r="K58" s="166" t="n">
        <v>1057.2</v>
      </c>
      <c r="L58" s="189" t="n">
        <f aca="false">M58+N58</f>
        <v>1057.2</v>
      </c>
      <c r="M58" s="166" t="n">
        <f aca="false">1057.2</f>
        <v>1057.2</v>
      </c>
      <c r="N58" s="167"/>
      <c r="O58" s="168" t="n">
        <v>8</v>
      </c>
      <c r="P58" s="166" t="n">
        <v>18120.69</v>
      </c>
      <c r="Q58" s="189" t="n">
        <f aca="false">R58+S58</f>
        <v>25697.29</v>
      </c>
      <c r="R58" s="166" t="n">
        <f aca="false">1409.6+3672.29+13038.8</f>
        <v>18120.69</v>
      </c>
      <c r="S58" s="167" t="n">
        <f aca="false">7576.6</f>
        <v>7576.6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1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6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5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4</v>
      </c>
      <c r="I63" s="148" t="n">
        <v>1</v>
      </c>
      <c r="J63" s="148" t="n">
        <v>1</v>
      </c>
      <c r="K63" s="149" t="n">
        <v>528.6</v>
      </c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6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17</v>
      </c>
      <c r="K65" s="161" t="n">
        <v>33199.65</v>
      </c>
      <c r="L65" s="161" t="n">
        <f aca="false">M65+N65</f>
        <v>13482.82</v>
      </c>
      <c r="M65" s="161" t="n">
        <v>13482.82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11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8</v>
      </c>
      <c r="I68" s="154" t="n">
        <v>5</v>
      </c>
      <c r="J68" s="154" t="n">
        <v>5</v>
      </c>
      <c r="K68" s="155" t="n">
        <v>3126.95</v>
      </c>
      <c r="L68" s="155" t="n">
        <f aca="false">M68+N68</f>
        <v>2114.4</v>
      </c>
      <c r="M68" s="155" t="n">
        <v>2114.4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11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16500.69</v>
      </c>
      <c r="M69" s="161" t="n">
        <v>16500.69</v>
      </c>
      <c r="N69" s="190"/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14</v>
      </c>
      <c r="I71" s="148" t="n">
        <v>9</v>
      </c>
      <c r="J71" s="148" t="n">
        <v>9</v>
      </c>
      <c r="K71" s="149" t="n">
        <v>20127.9</v>
      </c>
      <c r="L71" s="149" t="n">
        <f aca="false">M71+N71</f>
        <v>14798.19</v>
      </c>
      <c r="M71" s="149" t="n">
        <v>14798.19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25</v>
      </c>
      <c r="I73" s="160" t="n">
        <v>20</v>
      </c>
      <c r="J73" s="160" t="n">
        <v>23</v>
      </c>
      <c r="K73" s="161" t="n">
        <v>61221.69</v>
      </c>
      <c r="L73" s="161" t="n">
        <f aca="false">M73+N73</f>
        <v>3383.04</v>
      </c>
      <c r="M73" s="161" t="n">
        <v>3383.04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5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/>
      <c r="N76" s="156" t="n">
        <f aca="false">2577.4</f>
        <v>2577.4</v>
      </c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/>
      <c r="P77" s="161"/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6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1046.63</v>
      </c>
      <c r="M79" s="149" t="n">
        <v>1046.63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13</v>
      </c>
      <c r="I81" s="148" t="n">
        <v>5</v>
      </c>
      <c r="J81" s="148" t="n">
        <v>5</v>
      </c>
      <c r="K81" s="149" t="n">
        <v>25766.26</v>
      </c>
      <c r="L81" s="149" t="n">
        <f aca="false">M81+N81</f>
        <v>5039.32</v>
      </c>
      <c r="M81" s="149" t="n">
        <v>5039.32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24</v>
      </c>
      <c r="I82" s="154" t="n">
        <v>13</v>
      </c>
      <c r="J82" s="154" t="n">
        <v>13</v>
      </c>
      <c r="K82" s="155" t="n">
        <v>15828.92</v>
      </c>
      <c r="L82" s="155" t="n">
        <v>13890.72</v>
      </c>
      <c r="M82" s="155" t="n">
        <v>13890.72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5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4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8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0</v>
      </c>
      <c r="M87" s="149"/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8</v>
      </c>
      <c r="I89" s="148" t="n">
        <v>6</v>
      </c>
      <c r="J89" s="148" t="n">
        <v>7</v>
      </c>
      <c r="K89" s="149" t="n">
        <v>8723.07</v>
      </c>
      <c r="L89" s="149" t="n">
        <f aca="false">M89+N89</f>
        <v>5752.93</v>
      </c>
      <c r="M89" s="149" t="n">
        <v>5752.93</v>
      </c>
      <c r="N89" s="190"/>
      <c r="O89" s="151" t="n">
        <v>11</v>
      </c>
      <c r="P89" s="149" t="n">
        <v>45595.17</v>
      </c>
      <c r="Q89" s="149" t="n">
        <f aca="false">R89+S89</f>
        <v>43656.97</v>
      </c>
      <c r="R89" s="149" t="n">
        <v>43656.97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35</v>
      </c>
      <c r="I90" s="165" t="n">
        <v>29</v>
      </c>
      <c r="J90" s="165" t="n">
        <v>29</v>
      </c>
      <c r="K90" s="166" t="n">
        <v>32865.6</v>
      </c>
      <c r="L90" s="166" t="n">
        <v>18501</v>
      </c>
      <c r="M90" s="166" t="n">
        <v>18501</v>
      </c>
      <c r="N90" s="156"/>
      <c r="O90" s="168" t="n">
        <v>37</v>
      </c>
      <c r="P90" s="166" t="n">
        <v>75648.32</v>
      </c>
      <c r="Q90" s="166" t="n">
        <v>30232.1</v>
      </c>
      <c r="R90" s="166" t="n">
        <v>30232.1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6</v>
      </c>
      <c r="I91" s="148" t="n">
        <v>4</v>
      </c>
      <c r="J91" s="148" t="n">
        <v>5</v>
      </c>
      <c r="K91" s="149" t="n">
        <v>7825.97</v>
      </c>
      <c r="L91" s="149" t="n">
        <f aca="false">M91+N91</f>
        <v>2035.11</v>
      </c>
      <c r="M91" s="149" t="n">
        <v>2035.11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8</v>
      </c>
      <c r="I92" s="165" t="n">
        <v>4</v>
      </c>
      <c r="J92" s="165" t="n">
        <v>4</v>
      </c>
      <c r="K92" s="166" t="n">
        <v>7576.6</v>
      </c>
      <c r="L92" s="166" t="n">
        <f aca="false">M92+N92</f>
        <v>7576.63</v>
      </c>
      <c r="M92" s="166" t="n">
        <f aca="false">2290.6+4052.63</f>
        <v>6343.23</v>
      </c>
      <c r="N92" s="156" t="n">
        <f aca="false">1233.4</f>
        <v>1233.4</v>
      </c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6</v>
      </c>
      <c r="I93" s="148" t="n">
        <v>5</v>
      </c>
      <c r="J93" s="148" t="n">
        <v>5</v>
      </c>
      <c r="K93" s="149" t="n">
        <v>11187.86</v>
      </c>
      <c r="L93" s="149" t="n">
        <f aca="false">M93+N93</f>
        <v>4786.75</v>
      </c>
      <c r="M93" s="149" t="n">
        <v>4786.75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8</v>
      </c>
      <c r="I94" s="154" t="n">
        <v>3</v>
      </c>
      <c r="J94" s="154" t="n">
        <v>3</v>
      </c>
      <c r="K94" s="235" t="n">
        <v>5995.52</v>
      </c>
      <c r="L94" s="155" t="n">
        <f aca="false">M94+N94</f>
        <v>6096.52</v>
      </c>
      <c r="M94" s="155" t="n">
        <f aca="false">2819.2+3277.32</f>
        <v>6096.52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7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7</v>
      </c>
      <c r="I97" s="160" t="n">
        <v>5</v>
      </c>
      <c r="J97" s="160" t="n">
        <v>5</v>
      </c>
      <c r="K97" s="161" t="n">
        <v>9856.12</v>
      </c>
      <c r="L97" s="161" t="n">
        <f aca="false">M97+N97</f>
        <v>5486.08</v>
      </c>
      <c r="M97" s="161" t="n">
        <v>5486.08</v>
      </c>
      <c r="N97" s="190"/>
      <c r="O97" s="163" t="n">
        <v>6</v>
      </c>
      <c r="P97" s="161" t="n">
        <v>44299.53</v>
      </c>
      <c r="Q97" s="161" t="n">
        <f aca="false">R97+S97</f>
        <v>44299.53</v>
      </c>
      <c r="R97" s="161" t="n">
        <v>44299.53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5</v>
      </c>
      <c r="I98" s="165" t="n">
        <v>3</v>
      </c>
      <c r="J98" s="165" t="n">
        <v>3</v>
      </c>
      <c r="K98" s="166" t="n">
        <v>2858.7</v>
      </c>
      <c r="L98" s="161" t="n">
        <f aca="false">M98+N98</f>
        <v>4052.6</v>
      </c>
      <c r="M98" s="166" t="n">
        <v>4052.6</v>
      </c>
      <c r="N98" s="156"/>
      <c r="O98" s="168" t="n">
        <v>4</v>
      </c>
      <c r="P98" s="166" t="n">
        <v>11989.48</v>
      </c>
      <c r="Q98" s="166" t="n">
        <f aca="false">R98+S98</f>
        <v>13222.88</v>
      </c>
      <c r="R98" s="166" t="n">
        <f aca="false">3347.8+8641.68</f>
        <v>11989.48</v>
      </c>
      <c r="S98" s="156" t="n">
        <v>1233.4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5</v>
      </c>
      <c r="I99" s="148" t="n">
        <v>2</v>
      </c>
      <c r="J99" s="148" t="n">
        <v>3</v>
      </c>
      <c r="K99" s="149" t="n">
        <v>4990.89</v>
      </c>
      <c r="L99" s="149" t="n">
        <f aca="false">M99+N99</f>
        <v>2277.26</v>
      </c>
      <c r="M99" s="149" t="n">
        <v>2277.26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8454.6</v>
      </c>
      <c r="L100" s="155" t="n">
        <f aca="false">M100+N100</f>
        <v>12686.4</v>
      </c>
      <c r="M100" s="155" t="n">
        <f aca="false">5109.8+7576.6</f>
        <v>12686.4</v>
      </c>
      <c r="N100" s="156"/>
      <c r="O100" s="157" t="n">
        <v>2</v>
      </c>
      <c r="P100" s="155"/>
      <c r="Q100" s="155" t="n">
        <f aca="false">R100+S100</f>
        <v>0</v>
      </c>
      <c r="R100" s="155"/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31</v>
      </c>
      <c r="I101" s="160" t="n">
        <v>23</v>
      </c>
      <c r="J101" s="160" t="n">
        <v>23</v>
      </c>
      <c r="K101" s="161" t="n">
        <v>45775.46</v>
      </c>
      <c r="L101" s="161" t="n">
        <f aca="false">M101+N101</f>
        <v>22267.64</v>
      </c>
      <c r="M101" s="161" t="n">
        <v>22267.64</v>
      </c>
      <c r="N101" s="190"/>
      <c r="O101" s="163" t="n">
        <v>25</v>
      </c>
      <c r="P101" s="161" t="n">
        <v>141220.34</v>
      </c>
      <c r="Q101" s="161" t="n">
        <f aca="false">R101+S101</f>
        <v>57478.81</v>
      </c>
      <c r="R101" s="161" t="n">
        <v>57478.81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7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20</v>
      </c>
      <c r="I103" s="148" t="n">
        <v>15</v>
      </c>
      <c r="J103" s="148" t="n">
        <v>15</v>
      </c>
      <c r="K103" s="149" t="n">
        <v>12723.15</v>
      </c>
      <c r="L103" s="149" t="n">
        <f aca="false">M103+N103</f>
        <v>11302.98</v>
      </c>
      <c r="M103" s="149" t="n">
        <v>11302.98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7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8457.6</v>
      </c>
      <c r="Q104" s="166" t="n">
        <f aca="false">R104+S104</f>
        <v>9735.05</v>
      </c>
      <c r="R104" s="165" t="n">
        <f aca="false">6431.3+1057.2</f>
        <v>7488.5</v>
      </c>
      <c r="S104" s="156" t="n">
        <f aca="false">2246.55</f>
        <v>2246.55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9</v>
      </c>
      <c r="J105" s="148" t="n">
        <v>11</v>
      </c>
      <c r="K105" s="149" t="n">
        <v>9803.83</v>
      </c>
      <c r="L105" s="149" t="n">
        <f aca="false">M105+N105</f>
        <v>7482.33</v>
      </c>
      <c r="M105" s="149" t="n">
        <v>4148.63</v>
      </c>
      <c r="N105" s="190" t="n">
        <v>3333.7</v>
      </c>
      <c r="O105" s="151" t="n">
        <v>8</v>
      </c>
      <c r="P105" s="149" t="n">
        <v>47967.55</v>
      </c>
      <c r="Q105" s="149" t="n">
        <f aca="false">R105+S105</f>
        <v>12279.73</v>
      </c>
      <c r="R105" s="149" t="n">
        <v>8651.42</v>
      </c>
      <c r="S105" s="190" t="n">
        <v>3628.31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6</v>
      </c>
      <c r="I106" s="181" t="n">
        <v>1</v>
      </c>
      <c r="J106" s="181" t="n">
        <v>1</v>
      </c>
      <c r="K106" s="182" t="n">
        <v>4581.2</v>
      </c>
      <c r="L106" s="182" t="n">
        <f aca="false">M106+N106</f>
        <v>7400.4</v>
      </c>
      <c r="M106" s="182" t="n">
        <f aca="false">3876.4</f>
        <v>3876.4</v>
      </c>
      <c r="N106" s="167" t="n">
        <f aca="false">3524</f>
        <v>3524</v>
      </c>
      <c r="O106" s="184" t="n">
        <v>9</v>
      </c>
      <c r="P106" s="182" t="n">
        <v>20318.3</v>
      </c>
      <c r="Q106" s="182" t="n">
        <f aca="false">R106+S106</f>
        <v>23258.4</v>
      </c>
      <c r="R106" s="182" t="n">
        <f aca="false">8986.2+7400.4</f>
        <v>16386.6</v>
      </c>
      <c r="S106" s="167" t="n">
        <f aca="false">6871.8</f>
        <v>6871.8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2</v>
      </c>
      <c r="I107" s="154" t="n">
        <v>2</v>
      </c>
      <c r="J107" s="154" t="n">
        <v>2</v>
      </c>
      <c r="K107" s="155" t="n">
        <v>9338.6</v>
      </c>
      <c r="L107" s="155" t="n">
        <v>9338.6</v>
      </c>
      <c r="M107" s="155" t="n">
        <v>9338.6</v>
      </c>
      <c r="N107" s="156"/>
      <c r="O107" s="157" t="n">
        <v>4</v>
      </c>
      <c r="P107" s="155" t="n">
        <v>8281.4</v>
      </c>
      <c r="Q107" s="155" t="n">
        <v>3347.8</v>
      </c>
      <c r="R107" s="155" t="n">
        <v>3347.8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8</v>
      </c>
      <c r="I108" s="160" t="n">
        <v>5</v>
      </c>
      <c r="J108" s="160" t="n">
        <v>6</v>
      </c>
      <c r="K108" s="161" t="n">
        <v>11123.42</v>
      </c>
      <c r="L108" s="161" t="n">
        <f aca="false">M108+N108</f>
        <v>6509.89</v>
      </c>
      <c r="M108" s="161" t="n">
        <v>6509.89</v>
      </c>
      <c r="N108" s="190"/>
      <c r="O108" s="163" t="n">
        <v>10</v>
      </c>
      <c r="P108" s="161" t="n">
        <v>36158.58</v>
      </c>
      <c r="Q108" s="161" t="n">
        <f aca="false">R108+S108</f>
        <v>32771.12</v>
      </c>
      <c r="R108" s="161" t="n">
        <v>32771.12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8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/>
      <c r="Q111" s="166" t="n">
        <f aca="false">R111+S111</f>
        <v>5638.4</v>
      </c>
      <c r="R111" s="166"/>
      <c r="S111" s="156" t="n">
        <f aca="false">5638.4</f>
        <v>5638.4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28</v>
      </c>
      <c r="I112" s="148" t="n">
        <v>22</v>
      </c>
      <c r="J112" s="148" t="n">
        <v>28</v>
      </c>
      <c r="K112" s="149" t="n">
        <v>36614.08</v>
      </c>
      <c r="L112" s="149" t="n">
        <f aca="false">M112+N112</f>
        <v>29760.04</v>
      </c>
      <c r="M112" s="149" t="n">
        <v>29760.04</v>
      </c>
      <c r="N112" s="190"/>
      <c r="O112" s="151" t="n">
        <v>4</v>
      </c>
      <c r="P112" s="149" t="n">
        <v>25421.86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5</v>
      </c>
      <c r="I113" s="165" t="n">
        <v>3</v>
      </c>
      <c r="J113" s="165" t="n">
        <v>3</v>
      </c>
      <c r="K113" s="166" t="n">
        <v>10569.6</v>
      </c>
      <c r="L113" s="166" t="n">
        <f aca="false">M113+N113</f>
        <v>2907.3</v>
      </c>
      <c r="M113" s="166" t="n">
        <f aca="false">2907.3</f>
        <v>2907.3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4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29</v>
      </c>
      <c r="I118" s="160" t="n">
        <v>19</v>
      </c>
      <c r="J118" s="160" t="n">
        <v>28</v>
      </c>
      <c r="K118" s="161" t="n">
        <v>51943.96</v>
      </c>
      <c r="L118" s="161" t="n">
        <f aca="false">M118+N118</f>
        <v>33320.63</v>
      </c>
      <c r="M118" s="161" t="n">
        <v>33320.63</v>
      </c>
      <c r="N118" s="190"/>
      <c r="O118" s="163" t="n">
        <v>26</v>
      </c>
      <c r="P118" s="161" t="n">
        <v>50558.54</v>
      </c>
      <c r="Q118" s="161" t="n">
        <f aca="false">R118+S118</f>
        <v>48972.74</v>
      </c>
      <c r="R118" s="161" t="n">
        <v>48972.74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6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528.6</v>
      </c>
      <c r="M120" s="149" t="n">
        <v>528.6</v>
      </c>
      <c r="N120" s="190"/>
      <c r="O120" s="151" t="n">
        <v>5</v>
      </c>
      <c r="P120" s="149" t="n">
        <v>57770.79</v>
      </c>
      <c r="Q120" s="149" t="n">
        <f aca="false">R120+S120</f>
        <v>1162.92</v>
      </c>
      <c r="R120" s="149" t="n">
        <v>1162.92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26</v>
      </c>
      <c r="I122" s="148" t="n">
        <v>17</v>
      </c>
      <c r="J122" s="148" t="n">
        <v>21</v>
      </c>
      <c r="K122" s="149" t="n">
        <v>22175.56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21</v>
      </c>
      <c r="I123" s="165" t="n">
        <v>11</v>
      </c>
      <c r="J123" s="165" t="n">
        <v>11</v>
      </c>
      <c r="K123" s="166" t="n">
        <v>10419.5</v>
      </c>
      <c r="L123" s="166" t="n">
        <v>6695.6</v>
      </c>
      <c r="M123" s="166" t="n">
        <v>6695.6</v>
      </c>
      <c r="N123" s="156"/>
      <c r="O123" s="168" t="n">
        <v>15</v>
      </c>
      <c r="P123" s="166" t="n">
        <v>31202</v>
      </c>
      <c r="Q123" s="166" t="n">
        <v>23522.7</v>
      </c>
      <c r="R123" s="166" t="n">
        <v>23522.7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24</v>
      </c>
      <c r="I124" s="148" t="n">
        <v>15</v>
      </c>
      <c r="J124" s="148" t="n">
        <v>19</v>
      </c>
      <c r="K124" s="149" t="n">
        <v>51882.6</v>
      </c>
      <c r="L124" s="149" t="n">
        <f aca="false">M124+N124</f>
        <v>41123.37</v>
      </c>
      <c r="M124" s="149" t="n">
        <v>41123.37</v>
      </c>
      <c r="N124" s="190"/>
      <c r="O124" s="151" t="n">
        <v>19</v>
      </c>
      <c r="P124" s="149" t="n">
        <v>67667.88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29</v>
      </c>
      <c r="I126" s="160" t="n">
        <v>10</v>
      </c>
      <c r="J126" s="160" t="n">
        <v>11</v>
      </c>
      <c r="K126" s="161" t="n">
        <v>33631.02</v>
      </c>
      <c r="L126" s="161" t="n">
        <f aca="false">M126+N126</f>
        <v>23522.7</v>
      </c>
      <c r="M126" s="161" t="n">
        <v>11259.18</v>
      </c>
      <c r="N126" s="190" t="n">
        <v>12263.52</v>
      </c>
      <c r="O126" s="163" t="n">
        <v>16</v>
      </c>
      <c r="P126" s="161" t="n">
        <v>123375.91</v>
      </c>
      <c r="Q126" s="161" t="n">
        <f aca="false">R126+S126</f>
        <v>78950.02</v>
      </c>
      <c r="R126" s="161" t="n">
        <v>59549.41</v>
      </c>
      <c r="S126" s="190" t="n">
        <v>19400.61</v>
      </c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4193.56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39891.68</v>
      </c>
      <c r="Q128" s="166" t="n">
        <f aca="false">R128+S128</f>
        <v>47439.78</v>
      </c>
      <c r="R128" s="166" t="n">
        <f aca="false">29167.43-47.9+23.95+10748.2</f>
        <v>39891.68</v>
      </c>
      <c r="S128" s="156" t="n">
        <f aca="false">7548.1</f>
        <v>7548.1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6</v>
      </c>
      <c r="J131" s="160" t="n">
        <v>6</v>
      </c>
      <c r="K131" s="161" t="n">
        <v>5938.38</v>
      </c>
      <c r="L131" s="161" t="n">
        <f aca="false">M131+N131</f>
        <v>4891.75</v>
      </c>
      <c r="M131" s="161" t="n">
        <v>4891.75</v>
      </c>
      <c r="N131" s="190"/>
      <c r="O131" s="163" t="n">
        <v>8</v>
      </c>
      <c r="P131" s="161" t="n">
        <v>22293.04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10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9242.43</v>
      </c>
      <c r="Q132" s="155" t="n">
        <f aca="false">R132+S132</f>
        <v>14284.03</v>
      </c>
      <c r="R132" s="155" t="n">
        <f aca="false">1585.8+1585.8+6070.83</f>
        <v>9242.43</v>
      </c>
      <c r="S132" s="156" t="n">
        <f aca="false">5041.6</f>
        <v>5041.6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2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8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6540.54</v>
      </c>
      <c r="N135" s="190" t="n">
        <v>10186.06</v>
      </c>
      <c r="O135" s="151" t="n">
        <v>9</v>
      </c>
      <c r="P135" s="149" t="n">
        <v>43045.94</v>
      </c>
      <c r="Q135" s="149" t="n">
        <f aca="false">R135+S135</f>
        <v>39667.8</v>
      </c>
      <c r="R135" s="149" t="n">
        <v>29317.65</v>
      </c>
      <c r="S135" s="190" t="n">
        <v>10350.15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19</v>
      </c>
      <c r="I136" s="165" t="n">
        <v>15</v>
      </c>
      <c r="J136" s="165" t="n">
        <v>15</v>
      </c>
      <c r="K136" s="166" t="n">
        <v>13522.75</v>
      </c>
      <c r="L136" s="166" t="n">
        <v>7929</v>
      </c>
      <c r="M136" s="166" t="n">
        <v>7929</v>
      </c>
      <c r="N136" s="156"/>
      <c r="O136" s="168" t="n">
        <v>11</v>
      </c>
      <c r="P136" s="166" t="n">
        <v>28192</v>
      </c>
      <c r="Q136" s="166" t="n">
        <v>19205.8</v>
      </c>
      <c r="R136" s="166" t="n">
        <v>19205.8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28</v>
      </c>
      <c r="I137" s="148" t="n">
        <v>18</v>
      </c>
      <c r="J137" s="148" t="n">
        <v>25</v>
      </c>
      <c r="K137" s="149" t="n">
        <v>70499.75</v>
      </c>
      <c r="L137" s="149" t="n">
        <f aca="false">M137+N137</f>
        <v>55268.48</v>
      </c>
      <c r="M137" s="149" t="n">
        <v>55268.48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11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1233.4+3347.8</f>
        <v>4581.2</v>
      </c>
      <c r="N138" s="167" t="n">
        <f aca="false">2209.2</f>
        <v>2209.2</v>
      </c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10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2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25</v>
      </c>
      <c r="I142" s="160" t="n">
        <v>20</v>
      </c>
      <c r="J142" s="160" t="n">
        <v>20</v>
      </c>
      <c r="K142" s="161" t="n">
        <v>7606.2</v>
      </c>
      <c r="L142" s="161" t="n">
        <f aca="false">M142+N142</f>
        <v>4757.4</v>
      </c>
      <c r="M142" s="161" t="n">
        <v>4757.4</v>
      </c>
      <c r="N142" s="190"/>
      <c r="O142" s="163" t="n">
        <v>24</v>
      </c>
      <c r="P142" s="161" t="n">
        <v>48668.87</v>
      </c>
      <c r="Q142" s="161" t="n">
        <f aca="false">R142+S142</f>
        <v>38323.95</v>
      </c>
      <c r="R142" s="161" t="n">
        <v>38323.95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10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2643</f>
        <v>2643</v>
      </c>
      <c r="N143" s="167" t="n">
        <f aca="false">1585.8</f>
        <v>1585.8</v>
      </c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6</v>
      </c>
      <c r="I145" s="148" t="n">
        <v>4</v>
      </c>
      <c r="J145" s="148" t="n">
        <v>5</v>
      </c>
      <c r="K145" s="149" t="n">
        <v>4673.26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6</v>
      </c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18</v>
      </c>
      <c r="I147" s="160" t="n">
        <v>16</v>
      </c>
      <c r="J147" s="160" t="n">
        <v>16</v>
      </c>
      <c r="K147" s="161" t="n">
        <v>17960.86</v>
      </c>
      <c r="L147" s="161" t="n">
        <f aca="false">M147+N147</f>
        <v>17408.56</v>
      </c>
      <c r="M147" s="161" t="n">
        <v>17408.56</v>
      </c>
      <c r="N147" s="190"/>
      <c r="O147" s="163" t="n">
        <v>8</v>
      </c>
      <c r="P147" s="161" t="n">
        <v>30446.34</v>
      </c>
      <c r="Q147" s="161" t="n">
        <f aca="false">R147+S147</f>
        <v>27296.38</v>
      </c>
      <c r="R147" s="161" t="n">
        <v>27296.38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3700.2</v>
      </c>
      <c r="M148" s="166" t="n">
        <f aca="false">3700.2</f>
        <v>3700.2</v>
      </c>
      <c r="N148" s="156"/>
      <c r="O148" s="168" t="n">
        <v>6</v>
      </c>
      <c r="P148" s="166" t="n">
        <v>8105.2</v>
      </c>
      <c r="Q148" s="166" t="n">
        <f aca="false">R148+S148</f>
        <v>8986.2</v>
      </c>
      <c r="R148" s="166" t="n">
        <f aca="false">6519.4+1585.8</f>
        <v>8105.2</v>
      </c>
      <c r="S148" s="156" t="n">
        <f aca="false">881</f>
        <v>881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3</v>
      </c>
      <c r="I149" s="148" t="n">
        <v>2</v>
      </c>
      <c r="J149" s="148" t="n">
        <v>3</v>
      </c>
      <c r="K149" s="149" t="n">
        <v>8028.11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1</v>
      </c>
      <c r="J150" s="165" t="n">
        <v>1</v>
      </c>
      <c r="K150" s="166" t="n">
        <v>704.8</v>
      </c>
      <c r="L150" s="166" t="n">
        <f aca="false">M150+N150</f>
        <v>2466.8</v>
      </c>
      <c r="M150" s="166" t="n">
        <f aca="false">2466.8</f>
        <v>2466.8</v>
      </c>
      <c r="N150" s="167"/>
      <c r="O150" s="168" t="n">
        <v>7</v>
      </c>
      <c r="P150" s="166" t="n">
        <v>10925</v>
      </c>
      <c r="Q150" s="166" t="n">
        <f aca="false">R150+S150</f>
        <v>11860.54</v>
      </c>
      <c r="R150" s="166" t="n">
        <f aca="false">2290.6+528.6+7047.84</f>
        <v>9867.04</v>
      </c>
      <c r="S150" s="167" t="n">
        <f aca="false">1993.5</f>
        <v>1993.5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/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/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2</v>
      </c>
      <c r="P153" s="161" t="n">
        <v>20088.08</v>
      </c>
      <c r="Q153" s="161" t="n">
        <f aca="false">R153+S153</f>
        <v>20088.08</v>
      </c>
      <c r="R153" s="161" t="n">
        <v>20088.08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26" t="s">
        <v>281</v>
      </c>
      <c r="G154" s="152" t="s">
        <v>26</v>
      </c>
      <c r="H154" s="153" t="n">
        <v>3</v>
      </c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105</v>
      </c>
      <c r="C155" s="35" t="s">
        <v>33</v>
      </c>
      <c r="D155" s="35" t="s">
        <v>106</v>
      </c>
      <c r="E155" s="35" t="s">
        <v>107</v>
      </c>
      <c r="F155" s="36"/>
      <c r="G155" s="146" t="s">
        <v>22</v>
      </c>
      <c r="H155" s="169" t="n">
        <v>8</v>
      </c>
      <c r="I155" s="160" t="n">
        <v>1</v>
      </c>
      <c r="J155" s="160" t="n">
        <v>1</v>
      </c>
      <c r="K155" s="161" t="n">
        <v>352.4</v>
      </c>
      <c r="L155" s="161" t="n">
        <f aca="false">M155+N155</f>
        <v>352.4</v>
      </c>
      <c r="M155" s="161" t="n">
        <v>352.4</v>
      </c>
      <c r="N155" s="190"/>
      <c r="O155" s="163" t="n">
        <v>11</v>
      </c>
      <c r="P155" s="161" t="n">
        <v>54093.04</v>
      </c>
      <c r="Q155" s="161" t="n">
        <f aca="false">R155+S155</f>
        <v>45624.44</v>
      </c>
      <c r="R155" s="161" t="n">
        <v>45624.44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194</v>
      </c>
      <c r="G156" s="164" t="s">
        <v>26</v>
      </c>
      <c r="H156" s="153" t="n">
        <v>2</v>
      </c>
      <c r="I156" s="165"/>
      <c r="J156" s="165"/>
      <c r="K156" s="166"/>
      <c r="L156" s="161" t="n">
        <f aca="false">M156+N156</f>
        <v>0</v>
      </c>
      <c r="M156" s="166" t="n">
        <v>0</v>
      </c>
      <c r="N156" s="156"/>
      <c r="O156" s="168" t="n">
        <v>7</v>
      </c>
      <c r="P156" s="166" t="n">
        <v>23645.16</v>
      </c>
      <c r="Q156" s="166" t="n">
        <f aca="false">R156+S156</f>
        <v>18745.5</v>
      </c>
      <c r="R156" s="166" t="n">
        <f aca="false">4801.4+881+10853.9</f>
        <v>16536.3</v>
      </c>
      <c r="S156" s="156" t="n">
        <f aca="false">2209.2</f>
        <v>2209.2</v>
      </c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72"/>
      <c r="B157" s="73" t="s">
        <v>108</v>
      </c>
      <c r="C157" s="74" t="s">
        <v>33</v>
      </c>
      <c r="D157" s="74" t="s">
        <v>109</v>
      </c>
      <c r="E157" s="74" t="s">
        <v>25</v>
      </c>
      <c r="F157" s="20"/>
      <c r="G157" s="146" t="s">
        <v>22</v>
      </c>
      <c r="H157" s="159" t="n">
        <v>11</v>
      </c>
      <c r="I157" s="148" t="n">
        <v>10</v>
      </c>
      <c r="J157" s="148" t="n">
        <v>11</v>
      </c>
      <c r="K157" s="149" t="n">
        <v>21918.02</v>
      </c>
      <c r="L157" s="149" t="n">
        <f aca="false">M157+N157</f>
        <v>11519.11</v>
      </c>
      <c r="M157" s="149" t="n">
        <v>11519.11</v>
      </c>
      <c r="N157" s="190"/>
      <c r="O157" s="151" t="n">
        <v>22</v>
      </c>
      <c r="P157" s="149" t="n">
        <v>54823.91</v>
      </c>
      <c r="Q157" s="149" t="n">
        <f aca="false">R157+S157</f>
        <v>37928.86</v>
      </c>
      <c r="R157" s="149" t="n">
        <v>37928.86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72"/>
      <c r="B158" s="73"/>
      <c r="C158" s="73"/>
      <c r="D158" s="73"/>
      <c r="E158" s="73"/>
      <c r="F158" s="42" t="s">
        <v>195</v>
      </c>
      <c r="G158" s="164" t="s">
        <v>26</v>
      </c>
      <c r="H158" s="171" t="n">
        <v>9</v>
      </c>
      <c r="I158" s="165" t="n">
        <v>7</v>
      </c>
      <c r="J158" s="165" t="n">
        <v>7</v>
      </c>
      <c r="K158" s="166" t="n">
        <v>25240.98</v>
      </c>
      <c r="L158" s="166" t="n">
        <f aca="false">M158+N158</f>
        <v>14448.4</v>
      </c>
      <c r="M158" s="166" t="n">
        <f aca="false">6942.28+7506.12</f>
        <v>14448.4</v>
      </c>
      <c r="N158" s="156"/>
      <c r="O158" s="157" t="n">
        <v>13</v>
      </c>
      <c r="P158" s="155" t="n">
        <v>32508.9</v>
      </c>
      <c r="Q158" s="155" t="n">
        <f aca="false">R158+S158</f>
        <v>62603.86</v>
      </c>
      <c r="R158" s="155" t="n">
        <f aca="false">15329.4+14888.9+7893.76</f>
        <v>38112.06</v>
      </c>
      <c r="S158" s="156" t="n">
        <f aca="false">24491.8</f>
        <v>24491.8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110</v>
      </c>
      <c r="C159" s="19" t="s">
        <v>33</v>
      </c>
      <c r="D159" s="19" t="s">
        <v>111</v>
      </c>
      <c r="E159" s="19" t="s">
        <v>25</v>
      </c>
      <c r="F159" s="20"/>
      <c r="G159" s="146" t="s">
        <v>22</v>
      </c>
      <c r="H159" s="159" t="n">
        <v>29</v>
      </c>
      <c r="I159" s="148" t="n">
        <v>21</v>
      </c>
      <c r="J159" s="193" t="n">
        <v>24</v>
      </c>
      <c r="K159" s="149" t="n">
        <v>25113.93</v>
      </c>
      <c r="L159" s="149" t="n">
        <f aca="false">M159+N159</f>
        <v>19498.3</v>
      </c>
      <c r="M159" s="149" t="n">
        <v>19498.3</v>
      </c>
      <c r="N159" s="190"/>
      <c r="O159" s="163" t="n">
        <v>19</v>
      </c>
      <c r="P159" s="161" t="n">
        <v>104266.8</v>
      </c>
      <c r="Q159" s="161" t="n">
        <f aca="false">R159+S159</f>
        <v>50536.47</v>
      </c>
      <c r="R159" s="161" t="n">
        <v>50536.47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42" t="s">
        <v>196</v>
      </c>
      <c r="G160" s="164" t="s">
        <v>26</v>
      </c>
      <c r="H160" s="175" t="n">
        <v>4</v>
      </c>
      <c r="I160" s="165" t="n">
        <v>4</v>
      </c>
      <c r="J160" s="165" t="n">
        <v>3</v>
      </c>
      <c r="K160" s="166" t="n">
        <v>10296.2</v>
      </c>
      <c r="L160" s="166" t="n">
        <f aca="false">M160+N160</f>
        <v>0</v>
      </c>
      <c r="M160" s="166"/>
      <c r="N160" s="167"/>
      <c r="O160" s="168" t="n">
        <v>1</v>
      </c>
      <c r="P160" s="166"/>
      <c r="Q160" s="166" t="n">
        <f aca="false">R160+S160</f>
        <v>0</v>
      </c>
      <c r="R160" s="166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40" t="s">
        <v>282</v>
      </c>
      <c r="C161" s="19" t="s">
        <v>33</v>
      </c>
      <c r="D161" s="19" t="s">
        <v>283</v>
      </c>
      <c r="E161" s="19" t="s">
        <v>284</v>
      </c>
      <c r="F161" s="20"/>
      <c r="G161" s="146" t="s">
        <v>22</v>
      </c>
      <c r="H161" s="173"/>
      <c r="I161" s="148"/>
      <c r="J161" s="148"/>
      <c r="K161" s="241"/>
      <c r="L161" s="241" t="n">
        <f aca="false">M161+N161</f>
        <v>0</v>
      </c>
      <c r="M161" s="241"/>
      <c r="N161" s="150"/>
      <c r="O161" s="206"/>
      <c r="P161" s="149"/>
      <c r="Q161" s="149" t="n">
        <f aca="false">R161+S161</f>
        <v>0</v>
      </c>
      <c r="R161" s="149"/>
      <c r="S161" s="15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40"/>
      <c r="C162" s="19"/>
      <c r="D162" s="19"/>
      <c r="E162" s="19"/>
      <c r="F162" s="26" t="s">
        <v>285</v>
      </c>
      <c r="G162" s="152" t="s">
        <v>23</v>
      </c>
      <c r="H162" s="174" t="n">
        <v>6</v>
      </c>
      <c r="I162" s="154" t="n">
        <v>2</v>
      </c>
      <c r="J162" s="154" t="n">
        <v>2</v>
      </c>
      <c r="K162" s="242" t="n">
        <v>1472.8</v>
      </c>
      <c r="L162" s="242" t="n">
        <f aca="false">M162+N162</f>
        <v>0</v>
      </c>
      <c r="M162" s="242"/>
      <c r="N162" s="156"/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 t="s">
        <v>112</v>
      </c>
      <c r="C163" s="35" t="s">
        <v>20</v>
      </c>
      <c r="D163" s="35" t="s">
        <v>197</v>
      </c>
      <c r="E163" s="35" t="s">
        <v>25</v>
      </c>
      <c r="F163" s="36"/>
      <c r="G163" s="158" t="s">
        <v>22</v>
      </c>
      <c r="H163" s="159" t="n">
        <v>21</v>
      </c>
      <c r="I163" s="160" t="n">
        <v>21</v>
      </c>
      <c r="J163" s="160" t="n">
        <v>28</v>
      </c>
      <c r="K163" s="140" t="n">
        <v>71945.49</v>
      </c>
      <c r="L163" s="140" t="n">
        <f aca="false">M163+N163</f>
        <v>56817.22</v>
      </c>
      <c r="M163" s="140" t="n">
        <v>37636.31</v>
      </c>
      <c r="N163" s="190" t="n">
        <v>19180.91</v>
      </c>
      <c r="O163" s="163" t="n">
        <v>6</v>
      </c>
      <c r="P163" s="161" t="n">
        <v>25423.03</v>
      </c>
      <c r="Q163" s="161" t="n">
        <f aca="false">R163+S163</f>
        <v>25423.03</v>
      </c>
      <c r="R163" s="161" t="n">
        <v>20244.62</v>
      </c>
      <c r="S163" s="190" t="n">
        <v>5178.41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26" t="s">
        <v>198</v>
      </c>
      <c r="G164" s="152" t="s">
        <v>26</v>
      </c>
      <c r="H164" s="171" t="n">
        <v>3</v>
      </c>
      <c r="I164" s="165" t="n">
        <v>1</v>
      </c>
      <c r="J164" s="165" t="n">
        <v>1</v>
      </c>
      <c r="K164" s="166" t="n">
        <v>1762</v>
      </c>
      <c r="L164" s="166" t="n">
        <f aca="false">M164+N164</f>
        <v>1321.5</v>
      </c>
      <c r="M164" s="166" t="n">
        <f aca="false">1321.5</f>
        <v>1321.5</v>
      </c>
      <c r="N164" s="156"/>
      <c r="O164" s="168" t="n">
        <v>2</v>
      </c>
      <c r="P164" s="166" t="n">
        <v>2114.4</v>
      </c>
      <c r="Q164" s="166" t="n">
        <f aca="false">R164+S164</f>
        <v>27663.4</v>
      </c>
      <c r="R164" s="166" t="n">
        <f aca="false">2114.4</f>
        <v>2114.4</v>
      </c>
      <c r="S164" s="156" t="n">
        <f aca="false">25549</f>
        <v>25549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113</v>
      </c>
      <c r="C165" s="19" t="s">
        <v>20</v>
      </c>
      <c r="D165" s="19"/>
      <c r="E165" s="19" t="s">
        <v>31</v>
      </c>
      <c r="F165" s="36"/>
      <c r="G165" s="146" t="s">
        <v>22</v>
      </c>
      <c r="H165" s="159" t="n">
        <v>15</v>
      </c>
      <c r="I165" s="148" t="n">
        <v>12</v>
      </c>
      <c r="J165" s="148" t="n">
        <v>15</v>
      </c>
      <c r="K165" s="149" t="n">
        <v>31283.15</v>
      </c>
      <c r="L165" s="149" t="n">
        <f aca="false">M165+N165</f>
        <v>25824.49</v>
      </c>
      <c r="M165" s="149" t="n">
        <v>25824.49</v>
      </c>
      <c r="N165" s="190"/>
      <c r="O165" s="151" t="n">
        <v>8</v>
      </c>
      <c r="P165" s="149" t="n">
        <v>18834.43</v>
      </c>
      <c r="Q165" s="149" t="n">
        <f aca="false">R165+S165</f>
        <v>18834.43</v>
      </c>
      <c r="R165" s="149" t="n">
        <v>18834.43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57"/>
      <c r="G166" s="152" t="s">
        <v>26</v>
      </c>
      <c r="H166" s="153"/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114</v>
      </c>
      <c r="C167" s="35" t="s">
        <v>20</v>
      </c>
      <c r="D167" s="95"/>
      <c r="E167" s="35" t="s">
        <v>25</v>
      </c>
      <c r="F167" s="71"/>
      <c r="G167" s="146" t="s">
        <v>22</v>
      </c>
      <c r="H167" s="169" t="n">
        <v>2</v>
      </c>
      <c r="I167" s="160"/>
      <c r="J167" s="160"/>
      <c r="K167" s="161"/>
      <c r="L167" s="161" t="n">
        <f aca="false">M167+N167</f>
        <v>0</v>
      </c>
      <c r="M167" s="161"/>
      <c r="N167" s="190"/>
      <c r="O167" s="163" t="n">
        <v>3</v>
      </c>
      <c r="P167" s="161" t="n">
        <v>4574.09</v>
      </c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33"/>
      <c r="B168" s="34"/>
      <c r="C168" s="34"/>
      <c r="D168" s="34"/>
      <c r="E168" s="34"/>
      <c r="F168" s="42" t="s">
        <v>274</v>
      </c>
      <c r="G168" s="164" t="s">
        <v>26</v>
      </c>
      <c r="H168" s="175" t="n">
        <v>5</v>
      </c>
      <c r="I168" s="165" t="n">
        <v>5</v>
      </c>
      <c r="J168" s="165" t="n">
        <v>5</v>
      </c>
      <c r="K168" s="166" t="n">
        <v>5596.62</v>
      </c>
      <c r="L168" s="166" t="n">
        <f aca="false">M168+N168</f>
        <v>2140.23</v>
      </c>
      <c r="M168" s="166" t="n">
        <f aca="false">1127.68</f>
        <v>1127.68</v>
      </c>
      <c r="N168" s="156" t="n">
        <f aca="false">1012.55</f>
        <v>1012.55</v>
      </c>
      <c r="O168" s="168"/>
      <c r="P168" s="166"/>
      <c r="Q168" s="166" t="n">
        <f aca="false">R168+S168</f>
        <v>0</v>
      </c>
      <c r="R168" s="166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 t="s">
        <v>243</v>
      </c>
      <c r="C169" s="219"/>
      <c r="D169" s="19"/>
      <c r="E169" s="19"/>
      <c r="F169" s="20"/>
      <c r="G169" s="146" t="s">
        <v>22</v>
      </c>
      <c r="H169" s="173" t="n">
        <v>5</v>
      </c>
      <c r="I169" s="148" t="n">
        <v>3</v>
      </c>
      <c r="J169" s="148" t="n">
        <v>3</v>
      </c>
      <c r="K169" s="149" t="n">
        <v>4326.59</v>
      </c>
      <c r="L169" s="149" t="n">
        <f aca="false">M169+N169</f>
        <v>4062.29</v>
      </c>
      <c r="M169" s="149" t="n">
        <v>4062.29</v>
      </c>
      <c r="N169" s="190"/>
      <c r="O169" s="206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/>
      <c r="C170" s="18"/>
      <c r="D170" s="18"/>
      <c r="E170" s="18"/>
      <c r="F170" s="26" t="s">
        <v>275</v>
      </c>
      <c r="G170" s="152" t="s">
        <v>26</v>
      </c>
      <c r="H170" s="174" t="n">
        <v>6</v>
      </c>
      <c r="I170" s="154" t="n">
        <v>2</v>
      </c>
      <c r="J170" s="154" t="n">
        <v>2</v>
      </c>
      <c r="K170" s="155" t="n">
        <v>2114.4</v>
      </c>
      <c r="L170" s="155" t="n">
        <f aca="false">M170+N170</f>
        <v>3476.14</v>
      </c>
      <c r="M170" s="155" t="n">
        <f aca="false">3476.14</f>
        <v>3476.14</v>
      </c>
      <c r="N170" s="156"/>
      <c r="O170" s="209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200</v>
      </c>
      <c r="C171" s="220"/>
      <c r="D171" s="56"/>
      <c r="E171" s="56"/>
      <c r="F171" s="36"/>
      <c r="G171" s="158" t="s">
        <v>22</v>
      </c>
      <c r="H171" s="159" t="n">
        <v>25</v>
      </c>
      <c r="I171" s="160" t="n">
        <v>24</v>
      </c>
      <c r="J171" s="160" t="n">
        <v>26</v>
      </c>
      <c r="K171" s="161" t="n">
        <v>38842.39</v>
      </c>
      <c r="L171" s="161" t="n">
        <f aca="false">M171+N171</f>
        <v>22458.11</v>
      </c>
      <c r="M171" s="161" t="n">
        <v>22458.11</v>
      </c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57"/>
      <c r="G172" s="152" t="s">
        <v>26</v>
      </c>
      <c r="H172" s="174" t="n">
        <v>4</v>
      </c>
      <c r="I172" s="154" t="n">
        <v>4</v>
      </c>
      <c r="J172" s="154" t="n">
        <v>4</v>
      </c>
      <c r="K172" s="155" t="n">
        <v>6046.1</v>
      </c>
      <c r="L172" s="155" t="n">
        <f aca="false">M172+N172</f>
        <v>8512.9</v>
      </c>
      <c r="M172" s="155" t="n">
        <f aca="false">4757.4+2466.8</f>
        <v>7224.2</v>
      </c>
      <c r="N172" s="156" t="n">
        <f aca="false">1288.7</f>
        <v>1288.7</v>
      </c>
      <c r="O172" s="157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115</v>
      </c>
      <c r="C173" s="56" t="s">
        <v>20</v>
      </c>
      <c r="D173" s="56"/>
      <c r="E173" s="56" t="s">
        <v>116</v>
      </c>
      <c r="F173" s="36"/>
      <c r="G173" s="158" t="s">
        <v>22</v>
      </c>
      <c r="H173" s="159" t="n">
        <v>16</v>
      </c>
      <c r="I173" s="160" t="n">
        <v>15</v>
      </c>
      <c r="J173" s="160" t="n">
        <v>17</v>
      </c>
      <c r="K173" s="161" t="n">
        <v>15676.78</v>
      </c>
      <c r="L173" s="161" t="n">
        <f aca="false">M173+N173</f>
        <v>9503.97</v>
      </c>
      <c r="M173" s="161" t="n">
        <v>9503.97</v>
      </c>
      <c r="N173" s="190"/>
      <c r="O173" s="163" t="n">
        <v>17</v>
      </c>
      <c r="P173" s="161" t="n">
        <v>40160.31</v>
      </c>
      <c r="Q173" s="161" t="n">
        <f aca="false">R173+S173</f>
        <v>38497.86</v>
      </c>
      <c r="R173" s="161" t="n">
        <v>38497.86</v>
      </c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42" t="s">
        <v>201</v>
      </c>
      <c r="G174" s="164" t="s">
        <v>26</v>
      </c>
      <c r="H174" s="172" t="n">
        <v>9</v>
      </c>
      <c r="I174" s="165" t="n">
        <v>4</v>
      </c>
      <c r="J174" s="165" t="n">
        <v>4</v>
      </c>
      <c r="K174" s="166" t="n">
        <v>8915.72</v>
      </c>
      <c r="L174" s="161" t="n">
        <f aca="false">M174+N174</f>
        <v>4510.72</v>
      </c>
      <c r="M174" s="166" t="n">
        <v>1585.8</v>
      </c>
      <c r="N174" s="156" t="n">
        <f aca="false">2924.92</f>
        <v>2924.92</v>
      </c>
      <c r="O174" s="168" t="n">
        <v>8</v>
      </c>
      <c r="P174" s="166" t="n">
        <v>5286</v>
      </c>
      <c r="Q174" s="166" t="n">
        <f aca="false">R174+S174</f>
        <v>5286</v>
      </c>
      <c r="R174" s="166" t="n">
        <f aca="false">881+2114.4+2290.6</f>
        <v>5286</v>
      </c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17"/>
      <c r="B175" s="18" t="s">
        <v>157</v>
      </c>
      <c r="C175" s="19"/>
      <c r="D175" s="19"/>
      <c r="E175" s="127"/>
      <c r="F175" s="22"/>
      <c r="G175" s="146" t="s">
        <v>22</v>
      </c>
      <c r="H175" s="147" t="n">
        <v>12</v>
      </c>
      <c r="I175" s="148" t="n">
        <v>5</v>
      </c>
      <c r="J175" s="148" t="n">
        <v>6</v>
      </c>
      <c r="K175" s="149" t="n">
        <v>11119.33</v>
      </c>
      <c r="L175" s="149" t="n">
        <f aca="false">M175+N175</f>
        <v>9520.31</v>
      </c>
      <c r="M175" s="149" t="n">
        <v>9520.31</v>
      </c>
      <c r="N175" s="190"/>
      <c r="O175" s="151"/>
      <c r="P175" s="149"/>
      <c r="Q175" s="149" t="n">
        <f aca="false">R175+S175</f>
        <v>0</v>
      </c>
      <c r="R175" s="149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17"/>
      <c r="B176" s="18"/>
      <c r="C176" s="18"/>
      <c r="D176" s="18"/>
      <c r="E176" s="127"/>
      <c r="F176" s="26" t="s">
        <v>202</v>
      </c>
      <c r="G176" s="152" t="s">
        <v>26</v>
      </c>
      <c r="H176" s="176" t="n">
        <v>2</v>
      </c>
      <c r="I176" s="154"/>
      <c r="J176" s="154"/>
      <c r="K176" s="155"/>
      <c r="L176" s="155" t="n">
        <f aca="false">M176+N176</f>
        <v>0</v>
      </c>
      <c r="M176" s="155"/>
      <c r="N176" s="156"/>
      <c r="O176" s="157" t="n">
        <v>2</v>
      </c>
      <c r="P176" s="155"/>
      <c r="Q176" s="155" t="n">
        <f aca="false">R176+S176</f>
        <v>0</v>
      </c>
      <c r="R176" s="155"/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33"/>
      <c r="B177" s="34" t="s">
        <v>117</v>
      </c>
      <c r="C177" s="35" t="s">
        <v>33</v>
      </c>
      <c r="D177" s="35" t="s">
        <v>118</v>
      </c>
      <c r="E177" s="74" t="s">
        <v>25</v>
      </c>
      <c r="F177" s="89"/>
      <c r="G177" s="158" t="s">
        <v>22</v>
      </c>
      <c r="H177" s="169"/>
      <c r="I177" s="160"/>
      <c r="J177" s="160"/>
      <c r="K177" s="161"/>
      <c r="L177" s="161" t="n">
        <f aca="false">M177+N177</f>
        <v>0</v>
      </c>
      <c r="M177" s="161"/>
      <c r="N177" s="190"/>
      <c r="O177" s="163"/>
      <c r="P177" s="161"/>
      <c r="Q177" s="161" t="n">
        <f aca="false">R177+S177</f>
        <v>0</v>
      </c>
      <c r="R177" s="161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33"/>
      <c r="B178" s="34"/>
      <c r="C178" s="34"/>
      <c r="D178" s="34"/>
      <c r="E178" s="34"/>
      <c r="F178" s="42"/>
      <c r="G178" s="158" t="s">
        <v>23</v>
      </c>
      <c r="H178" s="169"/>
      <c r="I178" s="160"/>
      <c r="J178" s="160"/>
      <c r="K178" s="161"/>
      <c r="L178" s="161" t="n">
        <f aca="false">M178+N178</f>
        <v>0</v>
      </c>
      <c r="M178" s="161"/>
      <c r="N178" s="167"/>
      <c r="O178" s="163" t="n">
        <v>2</v>
      </c>
      <c r="P178" s="161" t="n">
        <v>1762</v>
      </c>
      <c r="Q178" s="161" t="n">
        <v>1762</v>
      </c>
      <c r="R178" s="161" t="n">
        <v>1762</v>
      </c>
      <c r="S178" s="167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33"/>
      <c r="B179" s="34"/>
      <c r="C179" s="34"/>
      <c r="D179" s="34"/>
      <c r="E179" s="34"/>
      <c r="F179" s="42"/>
      <c r="G179" s="164" t="s">
        <v>26</v>
      </c>
      <c r="H179" s="153"/>
      <c r="I179" s="165"/>
      <c r="J179" s="165"/>
      <c r="K179" s="166"/>
      <c r="L179" s="166" t="n">
        <f aca="false">M179+N179</f>
        <v>0</v>
      </c>
      <c r="M179" s="166"/>
      <c r="N179" s="156"/>
      <c r="O179" s="168" t="n">
        <v>7</v>
      </c>
      <c r="P179" s="166" t="n">
        <v>5902.7</v>
      </c>
      <c r="Q179" s="166" t="n">
        <f aca="false">R179+S179</f>
        <v>5902.7</v>
      </c>
      <c r="R179" s="166" t="n">
        <f aca="false">1762+1278.41+2862.29</f>
        <v>5902.7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119</v>
      </c>
      <c r="C180" s="19" t="s">
        <v>20</v>
      </c>
      <c r="D180" s="19"/>
      <c r="E180" s="19" t="s">
        <v>25</v>
      </c>
      <c r="F180" s="20"/>
      <c r="G180" s="146" t="s">
        <v>22</v>
      </c>
      <c r="H180" s="169"/>
      <c r="I180" s="148"/>
      <c r="J180" s="148"/>
      <c r="K180" s="149"/>
      <c r="L180" s="149" t="n">
        <f aca="false">M180+N180</f>
        <v>0</v>
      </c>
      <c r="M180" s="149"/>
      <c r="N180" s="190"/>
      <c r="O180" s="151" t="n">
        <v>2</v>
      </c>
      <c r="P180" s="149" t="n">
        <v>2643</v>
      </c>
      <c r="Q180" s="149" t="n">
        <f aca="false">R180+S180</f>
        <v>2643</v>
      </c>
      <c r="R180" s="149" t="n">
        <v>2643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42" t="s">
        <v>203</v>
      </c>
      <c r="G181" s="164" t="s">
        <v>26</v>
      </c>
      <c r="H181" s="175" t="n">
        <v>5</v>
      </c>
      <c r="I181" s="165" t="n">
        <v>2</v>
      </c>
      <c r="J181" s="165" t="n">
        <v>2</v>
      </c>
      <c r="K181" s="166" t="n">
        <v>1233.4</v>
      </c>
      <c r="L181" s="166" t="n">
        <f aca="false">M181+N181</f>
        <v>1812.59</v>
      </c>
      <c r="M181" s="166" t="n">
        <f aca="false">704.8+1107.79</f>
        <v>1812.59</v>
      </c>
      <c r="N181" s="156"/>
      <c r="O181" s="168" t="n">
        <v>3</v>
      </c>
      <c r="P181" s="166" t="n">
        <v>11226.21</v>
      </c>
      <c r="Q181" s="166" t="n">
        <f aca="false">R181+S181</f>
        <v>11226.21</v>
      </c>
      <c r="R181" s="166" t="n">
        <f aca="false">7349.81+50.59+3825.81</f>
        <v>11226.21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225</v>
      </c>
      <c r="C182" s="19"/>
      <c r="D182" s="19"/>
      <c r="E182" s="19"/>
      <c r="F182" s="20"/>
      <c r="G182" s="146" t="s">
        <v>22</v>
      </c>
      <c r="H182" s="147"/>
      <c r="I182" s="148"/>
      <c r="J182" s="148"/>
      <c r="K182" s="149"/>
      <c r="L182" s="149" t="n">
        <f aca="false">M182+N182</f>
        <v>0</v>
      </c>
      <c r="M182" s="149"/>
      <c r="N182" s="190"/>
      <c r="O182" s="151"/>
      <c r="P182" s="149"/>
      <c r="Q182" s="149" t="n">
        <f aca="false">R182+S182</f>
        <v>0</v>
      </c>
      <c r="R182" s="149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17"/>
      <c r="B183" s="18"/>
      <c r="C183" s="18"/>
      <c r="D183" s="18"/>
      <c r="E183" s="18"/>
      <c r="F183" s="26" t="s">
        <v>244</v>
      </c>
      <c r="G183" s="152" t="s">
        <v>23</v>
      </c>
      <c r="H183" s="176" t="n">
        <v>16</v>
      </c>
      <c r="I183" s="154" t="n">
        <v>12</v>
      </c>
      <c r="J183" s="154" t="n">
        <v>12</v>
      </c>
      <c r="K183" s="155" t="n">
        <v>15020.8</v>
      </c>
      <c r="L183" s="155" t="n">
        <v>3567.8</v>
      </c>
      <c r="M183" s="155" t="n">
        <v>3567.8</v>
      </c>
      <c r="N183" s="156"/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54"/>
      <c r="B184" s="55" t="s">
        <v>120</v>
      </c>
      <c r="C184" s="56" t="s">
        <v>20</v>
      </c>
      <c r="D184" s="56"/>
      <c r="E184" s="56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3</v>
      </c>
      <c r="P184" s="161" t="n">
        <v>3063.78</v>
      </c>
      <c r="Q184" s="161" t="n">
        <f aca="false">R184+S184</f>
        <v>3063.78</v>
      </c>
      <c r="R184" s="161" t="n">
        <v>3063.78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54"/>
      <c r="B185" s="55"/>
      <c r="C185" s="55"/>
      <c r="D185" s="55"/>
      <c r="E185" s="55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56"/>
      <c r="O185" s="168"/>
      <c r="P185" s="166"/>
      <c r="Q185" s="166" t="n">
        <f aca="false">R185+S185</f>
        <v>0</v>
      </c>
      <c r="R185" s="166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72"/>
      <c r="B186" s="18" t="s">
        <v>158</v>
      </c>
      <c r="C186" s="74"/>
      <c r="D186" s="56" t="s">
        <v>204</v>
      </c>
      <c r="E186" s="74"/>
      <c r="F186" s="53"/>
      <c r="G186" s="146" t="s">
        <v>22</v>
      </c>
      <c r="H186" s="195"/>
      <c r="I186" s="196"/>
      <c r="J186" s="196"/>
      <c r="K186" s="197"/>
      <c r="L186" s="197" t="n">
        <f aca="false">M186+N186</f>
        <v>0</v>
      </c>
      <c r="M186" s="197"/>
      <c r="N186" s="190"/>
      <c r="O186" s="199"/>
      <c r="P186" s="197"/>
      <c r="Q186" s="197" t="n">
        <f aca="false">R186+S186</f>
        <v>0</v>
      </c>
      <c r="R186" s="197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" hidden="false" customHeight="false" outlineLevel="0" collapsed="false">
      <c r="A187" s="54"/>
      <c r="B187" s="18"/>
      <c r="C187" s="56"/>
      <c r="D187" s="56"/>
      <c r="E187" s="56"/>
      <c r="F187" s="138" t="s">
        <v>205</v>
      </c>
      <c r="G187" s="152" t="s">
        <v>26</v>
      </c>
      <c r="H187" s="153" t="n">
        <v>6</v>
      </c>
      <c r="I187" s="200" t="n">
        <v>2</v>
      </c>
      <c r="J187" s="200" t="n">
        <v>2</v>
      </c>
      <c r="K187" s="201" t="n">
        <v>3524</v>
      </c>
      <c r="L187" s="201" t="n">
        <f aca="false">M187+N187</f>
        <v>0</v>
      </c>
      <c r="M187" s="201"/>
      <c r="N187" s="156"/>
      <c r="O187" s="203"/>
      <c r="P187" s="201"/>
      <c r="Q187" s="201" t="n">
        <f aca="false">R187+S187</f>
        <v>0</v>
      </c>
      <c r="R187" s="201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33"/>
      <c r="B188" s="34" t="s">
        <v>152</v>
      </c>
      <c r="C188" s="35" t="s">
        <v>20</v>
      </c>
      <c r="D188" s="35"/>
      <c r="E188" s="35" t="s">
        <v>25</v>
      </c>
      <c r="F188" s="36"/>
      <c r="G188" s="158" t="s">
        <v>22</v>
      </c>
      <c r="H188" s="169"/>
      <c r="I188" s="160"/>
      <c r="J188" s="160"/>
      <c r="K188" s="161"/>
      <c r="L188" s="161" t="n">
        <f aca="false">M188+N188</f>
        <v>0</v>
      </c>
      <c r="M188" s="161"/>
      <c r="N188" s="190"/>
      <c r="O188" s="163" t="n">
        <v>4</v>
      </c>
      <c r="P188" s="161" t="n">
        <v>7400.4</v>
      </c>
      <c r="Q188" s="161" t="n">
        <f aca="false">R188+S188</f>
        <v>7400.4</v>
      </c>
      <c r="R188" s="161" t="n">
        <v>7400.4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206</v>
      </c>
      <c r="G189" s="164" t="s">
        <v>26</v>
      </c>
      <c r="H189" s="171" t="n">
        <v>4</v>
      </c>
      <c r="I189" s="165"/>
      <c r="J189" s="165" t="n">
        <v>1</v>
      </c>
      <c r="K189" s="166" t="n">
        <v>704.8</v>
      </c>
      <c r="L189" s="166" t="n">
        <v>0</v>
      </c>
      <c r="M189" s="166" t="n">
        <f aca="false">4228.8</f>
        <v>4228.8</v>
      </c>
      <c r="N189" s="156"/>
      <c r="O189" s="168" t="n">
        <v>7</v>
      </c>
      <c r="P189" s="166" t="n">
        <v>12950.7</v>
      </c>
      <c r="Q189" s="161" t="n">
        <f aca="false">R189+S189</f>
        <v>12950.7</v>
      </c>
      <c r="R189" s="166" t="n">
        <f aca="false">2731.1+4228.8+5990.8</f>
        <v>12950.7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122</v>
      </c>
      <c r="C190" s="19" t="s">
        <v>20</v>
      </c>
      <c r="D190" s="19"/>
      <c r="E190" s="19" t="s">
        <v>116</v>
      </c>
      <c r="F190" s="20"/>
      <c r="G190" s="146" t="s">
        <v>22</v>
      </c>
      <c r="H190" s="159" t="n">
        <v>34</v>
      </c>
      <c r="I190" s="148" t="n">
        <v>31</v>
      </c>
      <c r="J190" s="148" t="n">
        <v>43</v>
      </c>
      <c r="K190" s="149" t="n">
        <v>68722.77</v>
      </c>
      <c r="L190" s="149" t="n">
        <f aca="false">M190+N190</f>
        <v>63069.56</v>
      </c>
      <c r="M190" s="149" t="n">
        <v>51516.04</v>
      </c>
      <c r="N190" s="190" t="n">
        <v>11553.52</v>
      </c>
      <c r="O190" s="151" t="n">
        <v>31</v>
      </c>
      <c r="P190" s="149" t="n">
        <v>112720.04</v>
      </c>
      <c r="Q190" s="149" t="n">
        <f aca="false">R190+S190</f>
        <v>112720.04</v>
      </c>
      <c r="R190" s="149" t="n">
        <v>96577.15</v>
      </c>
      <c r="S190" s="190" t="n">
        <v>16142.89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152" t="s">
        <v>26</v>
      </c>
      <c r="H191" s="153"/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123</v>
      </c>
      <c r="C192" s="35" t="s">
        <v>20</v>
      </c>
      <c r="D192" s="35"/>
      <c r="E192" s="35" t="s">
        <v>25</v>
      </c>
      <c r="F192" s="36"/>
      <c r="G192" s="146" t="s">
        <v>22</v>
      </c>
      <c r="H192" s="159" t="n">
        <v>6</v>
      </c>
      <c r="I192" s="160" t="n">
        <v>6</v>
      </c>
      <c r="J192" s="160" t="n">
        <v>6</v>
      </c>
      <c r="K192" s="161" t="n">
        <v>5298.16</v>
      </c>
      <c r="L192" s="161" t="n">
        <f aca="false">M192+N192</f>
        <v>4193.56</v>
      </c>
      <c r="M192" s="161" t="n">
        <v>4193.56</v>
      </c>
      <c r="N192" s="190"/>
      <c r="O192" s="163" t="n">
        <v>6</v>
      </c>
      <c r="P192" s="161" t="n">
        <v>10868.41</v>
      </c>
      <c r="Q192" s="161" t="n">
        <f aca="false">R192+S192</f>
        <v>10868.41</v>
      </c>
      <c r="R192" s="161" t="n">
        <v>10868.41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207</v>
      </c>
      <c r="G193" s="164" t="s">
        <v>26</v>
      </c>
      <c r="H193" s="153" t="n">
        <v>5</v>
      </c>
      <c r="I193" s="165" t="n">
        <v>2</v>
      </c>
      <c r="J193" s="165" t="n">
        <v>2</v>
      </c>
      <c r="K193" s="166" t="n">
        <v>1472.8</v>
      </c>
      <c r="L193" s="161" t="n">
        <f aca="false">M193+N193</f>
        <v>0</v>
      </c>
      <c r="M193" s="166" t="n">
        <v>0</v>
      </c>
      <c r="N193" s="156"/>
      <c r="O193" s="168" t="n">
        <v>3</v>
      </c>
      <c r="P193" s="166" t="n">
        <v>881</v>
      </c>
      <c r="Q193" s="166" t="n">
        <f aca="false">R193+S193</f>
        <v>7692.7</v>
      </c>
      <c r="R193" s="166" t="n">
        <f aca="false">881</f>
        <v>881</v>
      </c>
      <c r="S193" s="156" t="n">
        <f aca="false">6811.7</f>
        <v>6811.7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124</v>
      </c>
      <c r="C194" s="19" t="s">
        <v>20</v>
      </c>
      <c r="D194" s="19"/>
      <c r="E194" s="19" t="s">
        <v>88</v>
      </c>
      <c r="F194" s="20"/>
      <c r="G194" s="146" t="s">
        <v>22</v>
      </c>
      <c r="H194" s="159" t="n">
        <v>19</v>
      </c>
      <c r="I194" s="148" t="n">
        <v>13</v>
      </c>
      <c r="J194" s="148" t="n">
        <v>14</v>
      </c>
      <c r="K194" s="149" t="n">
        <v>25635.97</v>
      </c>
      <c r="L194" s="149" t="n">
        <f aca="false">M194+N194</f>
        <v>9941.39</v>
      </c>
      <c r="M194" s="149" t="n">
        <v>9941.39</v>
      </c>
      <c r="N194" s="190"/>
      <c r="O194" s="151" t="n">
        <v>11</v>
      </c>
      <c r="P194" s="149" t="n">
        <v>25417.55</v>
      </c>
      <c r="Q194" s="149" t="n">
        <f aca="false">R194+S194</f>
        <v>21526.95</v>
      </c>
      <c r="R194" s="149" t="n">
        <v>21526.95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42" t="s">
        <v>245</v>
      </c>
      <c r="G195" s="164" t="s">
        <v>23</v>
      </c>
      <c r="H195" s="172" t="n">
        <v>11</v>
      </c>
      <c r="I195" s="165" t="n">
        <v>5</v>
      </c>
      <c r="J195" s="165" t="n">
        <v>5</v>
      </c>
      <c r="K195" s="166" t="n">
        <v>3065.9</v>
      </c>
      <c r="L195" s="166" t="n">
        <v>396.45</v>
      </c>
      <c r="M195" s="166" t="n">
        <v>396.45</v>
      </c>
      <c r="N195" s="156"/>
      <c r="O195" s="168" t="n">
        <v>10</v>
      </c>
      <c r="P195" s="166" t="n">
        <v>13133.05</v>
      </c>
      <c r="Q195" s="166" t="n">
        <v>9061.9</v>
      </c>
      <c r="R195" s="166" t="n">
        <v>9061.9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208</v>
      </c>
      <c r="C196" s="19"/>
      <c r="D196" s="19"/>
      <c r="E196" s="127"/>
      <c r="F196" s="20"/>
      <c r="G196" s="146" t="s">
        <v>22</v>
      </c>
      <c r="H196" s="173" t="n">
        <v>39</v>
      </c>
      <c r="I196" s="148" t="n">
        <v>25</v>
      </c>
      <c r="J196" s="148" t="n">
        <v>25</v>
      </c>
      <c r="K196" s="149" t="n">
        <v>31863.12</v>
      </c>
      <c r="L196" s="149" t="n">
        <f aca="false">M196+N196</f>
        <v>30664.96</v>
      </c>
      <c r="M196" s="149" t="n">
        <v>30664.96</v>
      </c>
      <c r="N196" s="190"/>
      <c r="O196" s="151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28"/>
      <c r="F197" s="26" t="s">
        <v>246</v>
      </c>
      <c r="G197" s="152" t="s">
        <v>23</v>
      </c>
      <c r="H197" s="174" t="n">
        <v>11</v>
      </c>
      <c r="I197" s="154" t="n">
        <v>10</v>
      </c>
      <c r="J197" s="154" t="n">
        <v>10</v>
      </c>
      <c r="K197" s="155" t="n">
        <v>9872.91</v>
      </c>
      <c r="L197" s="155" t="n">
        <f aca="false">M197+N197</f>
        <v>1938.2</v>
      </c>
      <c r="M197" s="155" t="n">
        <v>1938.2</v>
      </c>
      <c r="N197" s="156"/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125</v>
      </c>
      <c r="C198" s="35" t="s">
        <v>33</v>
      </c>
      <c r="D198" s="35" t="s">
        <v>126</v>
      </c>
      <c r="E198" s="35" t="s">
        <v>127</v>
      </c>
      <c r="F198" s="36"/>
      <c r="G198" s="158" t="s">
        <v>22</v>
      </c>
      <c r="H198" s="159" t="n">
        <v>16</v>
      </c>
      <c r="I198" s="160" t="n">
        <v>10</v>
      </c>
      <c r="J198" s="160" t="n">
        <v>12</v>
      </c>
      <c r="K198" s="161" t="n">
        <v>33928.76</v>
      </c>
      <c r="L198" s="161" t="n">
        <f aca="false">M198+N198</f>
        <v>29800.18</v>
      </c>
      <c r="M198" s="161" t="n">
        <v>29800.18</v>
      </c>
      <c r="N198" s="190"/>
      <c r="O198" s="163" t="n">
        <v>14</v>
      </c>
      <c r="P198" s="161" t="n">
        <v>33154.57</v>
      </c>
      <c r="Q198" s="161" t="n">
        <f aca="false">R198+S198</f>
        <v>33154.57</v>
      </c>
      <c r="R198" s="161" t="n">
        <v>33154.57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/>
      <c r="G199" s="164" t="s">
        <v>23</v>
      </c>
      <c r="H199" s="171" t="n">
        <v>34</v>
      </c>
      <c r="I199" s="165" t="n">
        <v>10</v>
      </c>
      <c r="J199" s="165" t="n">
        <v>10</v>
      </c>
      <c r="K199" s="166" t="n">
        <v>18016.03</v>
      </c>
      <c r="L199" s="166" t="n">
        <v>5109.8</v>
      </c>
      <c r="M199" s="166" t="n">
        <v>5109.8</v>
      </c>
      <c r="N199" s="156"/>
      <c r="O199" s="168" t="n">
        <v>22</v>
      </c>
      <c r="P199" s="166" t="n">
        <v>46106.1</v>
      </c>
      <c r="Q199" s="166" t="n">
        <v>37639.62</v>
      </c>
      <c r="R199" s="166" t="n">
        <v>37639.62</v>
      </c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" hidden="false" customHeight="true" outlineLevel="0" collapsed="false">
      <c r="A200" s="17"/>
      <c r="B200" s="18" t="s">
        <v>128</v>
      </c>
      <c r="C200" s="19" t="s">
        <v>20</v>
      </c>
      <c r="D200" s="19"/>
      <c r="E200" s="19" t="s">
        <v>25</v>
      </c>
      <c r="F200" s="20"/>
      <c r="G200" s="146" t="s">
        <v>22</v>
      </c>
      <c r="H200" s="159" t="n">
        <v>24</v>
      </c>
      <c r="I200" s="148" t="n">
        <v>16</v>
      </c>
      <c r="J200" s="148" t="n">
        <v>18</v>
      </c>
      <c r="K200" s="149" t="n">
        <v>18890.76</v>
      </c>
      <c r="L200" s="149" t="n">
        <f aca="false">M200+N200</f>
        <v>13365.9</v>
      </c>
      <c r="M200" s="149" t="n">
        <v>13365.9</v>
      </c>
      <c r="N200" s="190"/>
      <c r="O200" s="151" t="n">
        <v>25</v>
      </c>
      <c r="P200" s="149" t="n">
        <v>47491.14</v>
      </c>
      <c r="Q200" s="149" t="n">
        <f aca="false">R200+S200</f>
        <v>42740.26</v>
      </c>
      <c r="R200" s="149" t="n">
        <v>42740.26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71"/>
      <c r="G201" s="164" t="s">
        <v>26</v>
      </c>
      <c r="H201" s="175"/>
      <c r="I201" s="165"/>
      <c r="J201" s="165"/>
      <c r="K201" s="166"/>
      <c r="L201" s="166" t="n">
        <f aca="false">M201+N201</f>
        <v>0</v>
      </c>
      <c r="M201" s="166"/>
      <c r="N201" s="156"/>
      <c r="O201" s="168"/>
      <c r="P201" s="166"/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227</v>
      </c>
      <c r="C202" s="19"/>
      <c r="D202" s="19"/>
      <c r="E202" s="19"/>
      <c r="F202" s="20"/>
      <c r="G202" s="204" t="s">
        <v>22</v>
      </c>
      <c r="H202" s="173" t="n">
        <v>5</v>
      </c>
      <c r="I202" s="148" t="n">
        <v>1</v>
      </c>
      <c r="J202" s="148" t="n">
        <v>1</v>
      </c>
      <c r="K202" s="149" t="n">
        <v>621.99</v>
      </c>
      <c r="L202" s="149" t="n">
        <f aca="false">M202+N202</f>
        <v>0</v>
      </c>
      <c r="M202" s="149"/>
      <c r="N202" s="190"/>
      <c r="O202" s="206"/>
      <c r="P202" s="149"/>
      <c r="Q202" s="149" t="n">
        <f aca="false">R202+S202</f>
        <v>0</v>
      </c>
      <c r="R202" s="149"/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251" t="s">
        <v>26</v>
      </c>
      <c r="H203" s="177"/>
      <c r="I203" s="165"/>
      <c r="J203" s="165"/>
      <c r="K203" s="166"/>
      <c r="L203" s="166" t="n">
        <f aca="false">M203+N203</f>
        <v>0</v>
      </c>
      <c r="M203" s="166"/>
      <c r="N203" s="167"/>
      <c r="O203" s="23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296</v>
      </c>
      <c r="C204" s="19"/>
      <c r="D204" s="19"/>
      <c r="E204" s="19" t="s">
        <v>25</v>
      </c>
      <c r="F204" s="20"/>
      <c r="G204" s="146" t="s">
        <v>22</v>
      </c>
      <c r="H204" s="173" t="n">
        <v>1</v>
      </c>
      <c r="I204" s="148"/>
      <c r="J204" s="148"/>
      <c r="K204" s="149"/>
      <c r="L204" s="149" t="n">
        <f aca="false">M204+N204</f>
        <v>0</v>
      </c>
      <c r="M204" s="149"/>
      <c r="N204" s="150"/>
      <c r="O204" s="206"/>
      <c r="P204" s="149"/>
      <c r="Q204" s="149" t="n">
        <f aca="false">R204+S204</f>
        <v>0</v>
      </c>
      <c r="R204" s="149"/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57"/>
      <c r="G205" s="152" t="s">
        <v>26</v>
      </c>
      <c r="H205" s="174"/>
      <c r="I205" s="154"/>
      <c r="J205" s="154"/>
      <c r="K205" s="155"/>
      <c r="L205" s="155" t="n">
        <f aca="false">M205+N205</f>
        <v>0</v>
      </c>
      <c r="M205" s="155"/>
      <c r="N205" s="156"/>
      <c r="O205" s="209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129</v>
      </c>
      <c r="C206" s="35" t="s">
        <v>38</v>
      </c>
      <c r="D206" s="35" t="s">
        <v>130</v>
      </c>
      <c r="E206" s="35" t="s">
        <v>25</v>
      </c>
      <c r="F206" s="36"/>
      <c r="G206" s="158" t="s">
        <v>22</v>
      </c>
      <c r="H206" s="159" t="n">
        <v>13</v>
      </c>
      <c r="I206" s="160" t="n">
        <v>12</v>
      </c>
      <c r="J206" s="160" t="n">
        <v>12</v>
      </c>
      <c r="K206" s="161" t="n">
        <v>13026.32</v>
      </c>
      <c r="L206" s="161" t="n">
        <f aca="false">M206+N206</f>
        <v>8519.19</v>
      </c>
      <c r="M206" s="161" t="n">
        <v>8519.19</v>
      </c>
      <c r="N206" s="190"/>
      <c r="O206" s="163" t="n">
        <v>5</v>
      </c>
      <c r="P206" s="161" t="n">
        <v>66458.37</v>
      </c>
      <c r="Q206" s="161" t="n">
        <f aca="false">R206+S206</f>
        <v>66458.37</v>
      </c>
      <c r="R206" s="161" t="n">
        <v>66458.37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209</v>
      </c>
      <c r="G207" s="164" t="s">
        <v>26</v>
      </c>
      <c r="H207" s="153" t="n">
        <v>5</v>
      </c>
      <c r="I207" s="165" t="n">
        <v>1</v>
      </c>
      <c r="J207" s="165" t="n">
        <v>1</v>
      </c>
      <c r="K207" s="166" t="n">
        <v>1762</v>
      </c>
      <c r="L207" s="161" t="n">
        <f aca="false">M207+N207</f>
        <v>1762</v>
      </c>
      <c r="M207" s="166" t="n">
        <f aca="false">1762</f>
        <v>1762</v>
      </c>
      <c r="N207" s="156"/>
      <c r="O207" s="168" t="n">
        <v>7</v>
      </c>
      <c r="P207" s="166" t="n">
        <v>22040.1</v>
      </c>
      <c r="Q207" s="166" t="n">
        <f aca="false">R207+S207</f>
        <v>22040.1</v>
      </c>
      <c r="R207" s="166" t="n">
        <f aca="false">881+881+14612.2+1409.5+4256.4</f>
        <v>22040.1</v>
      </c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17"/>
      <c r="B208" s="18" t="s">
        <v>131</v>
      </c>
      <c r="C208" s="19" t="s">
        <v>38</v>
      </c>
      <c r="D208" s="19" t="s">
        <v>130</v>
      </c>
      <c r="E208" s="19" t="s">
        <v>25</v>
      </c>
      <c r="F208" s="20"/>
      <c r="G208" s="146" t="s">
        <v>22</v>
      </c>
      <c r="H208" s="159" t="n">
        <v>10</v>
      </c>
      <c r="I208" s="148" t="n">
        <v>9</v>
      </c>
      <c r="J208" s="148" t="n">
        <v>17</v>
      </c>
      <c r="K208" s="149" t="n">
        <v>55173.64</v>
      </c>
      <c r="L208" s="149" t="n">
        <f aca="false">M208+N208</f>
        <v>31320.86</v>
      </c>
      <c r="M208" s="149" t="n">
        <v>31320.86</v>
      </c>
      <c r="N208" s="190"/>
      <c r="O208" s="151" t="n">
        <v>17</v>
      </c>
      <c r="P208" s="149" t="n">
        <v>163313.47</v>
      </c>
      <c r="Q208" s="149" t="n">
        <f aca="false">R208+S208</f>
        <v>151501.71</v>
      </c>
      <c r="R208" s="149" t="n">
        <v>151501.71</v>
      </c>
      <c r="S208" s="198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17"/>
      <c r="B209" s="18"/>
      <c r="C209" s="18"/>
      <c r="D209" s="18"/>
      <c r="E209" s="18"/>
      <c r="F209" s="26" t="s">
        <v>210</v>
      </c>
      <c r="G209" s="152" t="s">
        <v>26</v>
      </c>
      <c r="H209" s="153" t="n">
        <v>5</v>
      </c>
      <c r="I209" s="154" t="n">
        <v>4</v>
      </c>
      <c r="J209" s="154" t="n">
        <v>4</v>
      </c>
      <c r="K209" s="155" t="n">
        <v>3034.9</v>
      </c>
      <c r="L209" s="155" t="n">
        <f aca="false">M209+N209</f>
        <v>3034.9</v>
      </c>
      <c r="M209" s="155" t="n">
        <f aca="false">1585.8+528.6</f>
        <v>2114.4</v>
      </c>
      <c r="N209" s="156" t="n">
        <f aca="false">920.5</f>
        <v>920.5</v>
      </c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33"/>
      <c r="B210" s="34" t="s">
        <v>132</v>
      </c>
      <c r="C210" s="35" t="s">
        <v>20</v>
      </c>
      <c r="D210" s="35"/>
      <c r="E210" s="35" t="s">
        <v>69</v>
      </c>
      <c r="F210" s="38"/>
      <c r="G210" s="146" t="s">
        <v>22</v>
      </c>
      <c r="H210" s="159" t="n">
        <v>13</v>
      </c>
      <c r="I210" s="160" t="n">
        <v>11</v>
      </c>
      <c r="J210" s="160" t="n">
        <v>17</v>
      </c>
      <c r="K210" s="161" t="n">
        <v>39190.81</v>
      </c>
      <c r="L210" s="161" t="n">
        <f aca="false">M210+N210</f>
        <v>23368.97</v>
      </c>
      <c r="M210" s="161" t="n">
        <v>23368.97</v>
      </c>
      <c r="N210" s="190"/>
      <c r="O210" s="163" t="n">
        <v>14</v>
      </c>
      <c r="P210" s="161" t="n">
        <v>59082.08</v>
      </c>
      <c r="Q210" s="161" t="n">
        <f aca="false">R210+S210</f>
        <v>39943.71</v>
      </c>
      <c r="R210" s="161" t="n">
        <v>39943.71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33"/>
      <c r="B211" s="34"/>
      <c r="C211" s="34"/>
      <c r="D211" s="34"/>
      <c r="E211" s="34"/>
      <c r="F211" s="42" t="s">
        <v>211</v>
      </c>
      <c r="G211" s="164" t="s">
        <v>26</v>
      </c>
      <c r="H211" s="153" t="n">
        <v>9</v>
      </c>
      <c r="I211" s="165" t="n">
        <v>4</v>
      </c>
      <c r="J211" s="165" t="n">
        <v>4</v>
      </c>
      <c r="K211" s="166" t="n">
        <v>12298.76</v>
      </c>
      <c r="L211" s="166" t="n">
        <f aca="false">M211+N211</f>
        <v>0</v>
      </c>
      <c r="M211" s="166"/>
      <c r="N211" s="156"/>
      <c r="O211" s="168" t="n">
        <v>1</v>
      </c>
      <c r="P211" s="166" t="n">
        <v>3700.2</v>
      </c>
      <c r="Q211" s="166" t="n">
        <f aca="false">R211+S211</f>
        <v>0</v>
      </c>
      <c r="R211" s="166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72"/>
      <c r="B212" s="73" t="s">
        <v>133</v>
      </c>
      <c r="C212" s="74" t="s">
        <v>20</v>
      </c>
      <c r="D212" s="74"/>
      <c r="E212" s="74" t="s">
        <v>25</v>
      </c>
      <c r="F212" s="22"/>
      <c r="G212" s="146" t="s">
        <v>22</v>
      </c>
      <c r="H212" s="159" t="n">
        <v>4</v>
      </c>
      <c r="I212" s="148" t="n">
        <v>4</v>
      </c>
      <c r="J212" s="148" t="n">
        <v>5</v>
      </c>
      <c r="K212" s="149" t="n">
        <v>7984.73</v>
      </c>
      <c r="L212" s="149" t="n">
        <f aca="false">M212+N212</f>
        <v>7984.73</v>
      </c>
      <c r="M212" s="149" t="n">
        <v>7984.73</v>
      </c>
      <c r="N212" s="190"/>
      <c r="O212" s="151" t="n">
        <v>2</v>
      </c>
      <c r="P212" s="149" t="n">
        <v>4329.79</v>
      </c>
      <c r="Q212" s="149" t="n">
        <f aca="false">R212+S212</f>
        <v>4329.79</v>
      </c>
      <c r="R212" s="149" t="n">
        <v>4329.79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72"/>
      <c r="B213" s="73"/>
      <c r="C213" s="73"/>
      <c r="D213" s="73"/>
      <c r="E213" s="73"/>
      <c r="F213" s="42" t="s">
        <v>212</v>
      </c>
      <c r="G213" s="164" t="s">
        <v>26</v>
      </c>
      <c r="H213" s="171" t="n">
        <v>4</v>
      </c>
      <c r="I213" s="165" t="n">
        <v>1</v>
      </c>
      <c r="J213" s="165" t="n">
        <v>1</v>
      </c>
      <c r="K213" s="166" t="n">
        <v>1409.6</v>
      </c>
      <c r="L213" s="166" t="n">
        <f aca="false">M213+N213</f>
        <v>1409.6</v>
      </c>
      <c r="M213" s="166" t="n">
        <f aca="false">1409.6</f>
        <v>1409.6</v>
      </c>
      <c r="N213" s="156"/>
      <c r="O213" s="168" t="n">
        <v>2</v>
      </c>
      <c r="P213" s="166" t="n">
        <v>2907.3</v>
      </c>
      <c r="Q213" s="166" t="n">
        <f aca="false">R213+S213</f>
        <v>2907.3</v>
      </c>
      <c r="R213" s="166" t="n">
        <f aca="false">1321.5+1585.8</f>
        <v>2907.3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134</v>
      </c>
      <c r="C214" s="74" t="s">
        <v>20</v>
      </c>
      <c r="D214" s="74"/>
      <c r="E214" s="74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</v>
      </c>
      <c r="P214" s="149" t="n">
        <v>13019.26</v>
      </c>
      <c r="Q214" s="149" t="n">
        <f aca="false">R214+S214</f>
        <v>13019.26</v>
      </c>
      <c r="R214" s="149" t="n">
        <v>13019.26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72"/>
      <c r="B215" s="73"/>
      <c r="C215" s="73"/>
      <c r="D215" s="73"/>
      <c r="E215" s="73"/>
      <c r="F215" s="42" t="s">
        <v>213</v>
      </c>
      <c r="G215" s="164" t="s">
        <v>26</v>
      </c>
      <c r="H215" s="153" t="n">
        <v>5</v>
      </c>
      <c r="I215" s="165" t="n">
        <v>1</v>
      </c>
      <c r="J215" s="165" t="n">
        <v>1</v>
      </c>
      <c r="K215" s="166" t="n">
        <v>552.3</v>
      </c>
      <c r="L215" s="166" t="n">
        <f aca="false">M215+N215</f>
        <v>0</v>
      </c>
      <c r="M215" s="166"/>
      <c r="N215" s="156"/>
      <c r="O215" s="168" t="n">
        <v>7</v>
      </c>
      <c r="P215" s="166" t="n">
        <v>28509.42</v>
      </c>
      <c r="Q215" s="166" t="n">
        <f aca="false">R215+S215</f>
        <v>30447.62</v>
      </c>
      <c r="R215" s="166" t="n">
        <f aca="false">19875.62+8633.8</f>
        <v>28509.42</v>
      </c>
      <c r="S215" s="156" t="n">
        <f aca="false">1938.2</f>
        <v>1938.2</v>
      </c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135</v>
      </c>
      <c r="C216" s="19" t="s">
        <v>20</v>
      </c>
      <c r="D216" s="19"/>
      <c r="E216" s="19" t="s">
        <v>69</v>
      </c>
      <c r="F216" s="22"/>
      <c r="G216" s="146" t="s">
        <v>22</v>
      </c>
      <c r="H216" s="159" t="n">
        <v>14</v>
      </c>
      <c r="I216" s="148" t="n">
        <v>7</v>
      </c>
      <c r="J216" s="148" t="n">
        <v>8</v>
      </c>
      <c r="K216" s="149" t="n">
        <v>17185.96</v>
      </c>
      <c r="L216" s="149" t="n">
        <f aca="false">M216+N216</f>
        <v>11754.09</v>
      </c>
      <c r="M216" s="149" t="n">
        <v>11754.09</v>
      </c>
      <c r="N216" s="190"/>
      <c r="O216" s="151" t="n">
        <v>13</v>
      </c>
      <c r="P216" s="149" t="n">
        <v>42132.95</v>
      </c>
      <c r="Q216" s="149" t="n">
        <f aca="false">R216+S216</f>
        <v>42132.95</v>
      </c>
      <c r="R216" s="149" t="n">
        <v>42132.95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277</v>
      </c>
      <c r="G217" s="152" t="s">
        <v>26</v>
      </c>
      <c r="H217" s="171" t="n">
        <v>7</v>
      </c>
      <c r="I217" s="154"/>
      <c r="J217" s="154" t="n">
        <v>2</v>
      </c>
      <c r="K217" s="155" t="n">
        <v>1409.6</v>
      </c>
      <c r="L217" s="155" t="n">
        <f aca="false">M217+N217</f>
        <v>3347.8</v>
      </c>
      <c r="M217" s="155"/>
      <c r="N217" s="156" t="n">
        <f aca="false">3347.8</f>
        <v>3347.8</v>
      </c>
      <c r="O217" s="157" t="n">
        <v>2</v>
      </c>
      <c r="P217" s="155" t="n">
        <v>2292.9</v>
      </c>
      <c r="Q217" s="155" t="n">
        <f aca="false">R217+S217</f>
        <v>792.9</v>
      </c>
      <c r="R217" s="155" t="n">
        <f aca="false">792.9</f>
        <v>792.9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33"/>
      <c r="B218" s="34" t="s">
        <v>136</v>
      </c>
      <c r="C218" s="35" t="s">
        <v>20</v>
      </c>
      <c r="D218" s="35"/>
      <c r="E218" s="35" t="s">
        <v>98</v>
      </c>
      <c r="F218" s="36"/>
      <c r="G218" s="146" t="s">
        <v>22</v>
      </c>
      <c r="H218" s="159" t="n">
        <v>24</v>
      </c>
      <c r="I218" s="160" t="n">
        <v>14</v>
      </c>
      <c r="J218" s="160" t="n">
        <v>21</v>
      </c>
      <c r="K218" s="161" t="n">
        <v>39745.81</v>
      </c>
      <c r="L218" s="161" t="n">
        <f aca="false">M218+N218</f>
        <v>27069.8</v>
      </c>
      <c r="M218" s="161" t="n">
        <v>27069.8</v>
      </c>
      <c r="N218" s="190"/>
      <c r="O218" s="163" t="n">
        <v>11</v>
      </c>
      <c r="P218" s="161" t="n">
        <v>23371.27</v>
      </c>
      <c r="Q218" s="161" t="n">
        <f aca="false">R218+S218</f>
        <v>14877.54</v>
      </c>
      <c r="R218" s="161" t="n">
        <v>14877.54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247</v>
      </c>
      <c r="G219" s="164" t="s">
        <v>23</v>
      </c>
      <c r="H219" s="171" t="n">
        <v>7</v>
      </c>
      <c r="I219" s="165" t="n">
        <v>6</v>
      </c>
      <c r="J219" s="165" t="n">
        <v>6</v>
      </c>
      <c r="K219" s="166" t="n">
        <v>4581.2</v>
      </c>
      <c r="L219" s="166" t="n">
        <f aca="false">M219+N219</f>
        <v>4052.6</v>
      </c>
      <c r="M219" s="166" t="n">
        <v>4052.6</v>
      </c>
      <c r="N219" s="156"/>
      <c r="O219" s="168" t="n">
        <v>8</v>
      </c>
      <c r="P219" s="166" t="n">
        <v>15505.6</v>
      </c>
      <c r="Q219" s="166" t="n">
        <v>14800.8</v>
      </c>
      <c r="R219" s="166" t="n">
        <v>14800.8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137</v>
      </c>
      <c r="C220" s="19" t="s">
        <v>20</v>
      </c>
      <c r="D220" s="19"/>
      <c r="E220" s="19" t="s">
        <v>25</v>
      </c>
      <c r="F220" s="20"/>
      <c r="G220" s="146" t="s">
        <v>22</v>
      </c>
      <c r="H220" s="169"/>
      <c r="I220" s="148"/>
      <c r="J220" s="148"/>
      <c r="K220" s="149"/>
      <c r="L220" s="149" t="n">
        <f aca="false">M220+N220</f>
        <v>0</v>
      </c>
      <c r="M220" s="149"/>
      <c r="N220" s="190"/>
      <c r="O220" s="151" t="n">
        <v>14</v>
      </c>
      <c r="P220" s="149" t="n">
        <v>46258.85</v>
      </c>
      <c r="Q220" s="149" t="n">
        <f aca="false">R220+S220</f>
        <v>0</v>
      </c>
      <c r="R220" s="149"/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20.25" hidden="false" customHeight="true" outlineLevel="0" collapsed="false">
      <c r="A221" s="17"/>
      <c r="B221" s="18"/>
      <c r="C221" s="18"/>
      <c r="D221" s="18"/>
      <c r="E221" s="18"/>
      <c r="F221" s="26" t="s">
        <v>286</v>
      </c>
      <c r="G221" s="152" t="s">
        <v>26</v>
      </c>
      <c r="H221" s="153" t="n">
        <v>9</v>
      </c>
      <c r="I221" s="154" t="n">
        <v>2</v>
      </c>
      <c r="J221" s="154" t="n">
        <v>2</v>
      </c>
      <c r="K221" s="155" t="n">
        <v>2554.9</v>
      </c>
      <c r="L221" s="155" t="n">
        <f aca="false">M221+N221</f>
        <v>0</v>
      </c>
      <c r="M221" s="155"/>
      <c r="N221" s="156"/>
      <c r="O221" s="157" t="n">
        <v>4</v>
      </c>
      <c r="P221" s="155"/>
      <c r="Q221" s="155" t="n">
        <f aca="false">R221+S221</f>
        <v>0</v>
      </c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138</v>
      </c>
      <c r="C222" s="56" t="s">
        <v>33</v>
      </c>
      <c r="D222" s="56" t="s">
        <v>139</v>
      </c>
      <c r="E222" s="56" t="s">
        <v>25</v>
      </c>
      <c r="F222" s="36"/>
      <c r="G222" s="146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/>
      <c r="P222" s="161"/>
      <c r="Q222" s="161" t="n">
        <f aca="false">R222+S222</f>
        <v>0</v>
      </c>
      <c r="R222" s="161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26" t="s">
        <v>214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4158.32</v>
      </c>
      <c r="L223" s="155" t="n">
        <f aca="false">M223+N223</f>
        <v>4158.32</v>
      </c>
      <c r="M223" s="155" t="n">
        <f aca="false">2466.8+1691.52</f>
        <v>4158.32</v>
      </c>
      <c r="N223" s="156"/>
      <c r="O223" s="157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140</v>
      </c>
      <c r="C224" s="35" t="s">
        <v>20</v>
      </c>
      <c r="D224" s="35"/>
      <c r="E224" s="35" t="s">
        <v>141</v>
      </c>
      <c r="F224" s="36"/>
      <c r="G224" s="146" t="s">
        <v>22</v>
      </c>
      <c r="H224" s="159" t="n">
        <v>16</v>
      </c>
      <c r="I224" s="160" t="n">
        <v>14</v>
      </c>
      <c r="J224" s="160" t="n">
        <v>21</v>
      </c>
      <c r="K224" s="161" t="n">
        <v>33782.9</v>
      </c>
      <c r="L224" s="161" t="n">
        <f aca="false">M224+N224</f>
        <v>16759.36</v>
      </c>
      <c r="M224" s="161" t="n">
        <v>16759.36</v>
      </c>
      <c r="N224" s="190"/>
      <c r="O224" s="163" t="n">
        <v>12</v>
      </c>
      <c r="P224" s="161" t="n">
        <v>72912.46</v>
      </c>
      <c r="Q224" s="161" t="n">
        <f aca="false">R224+S224</f>
        <v>65251.23</v>
      </c>
      <c r="R224" s="161" t="n">
        <v>65251.23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215</v>
      </c>
      <c r="G225" s="164" t="s">
        <v>26</v>
      </c>
      <c r="H225" s="175" t="n">
        <v>2</v>
      </c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251</v>
      </c>
      <c r="C226" s="19" t="s">
        <v>20</v>
      </c>
      <c r="D226" s="19"/>
      <c r="E226" s="19" t="s">
        <v>116</v>
      </c>
      <c r="F226" s="20"/>
      <c r="G226" s="146" t="s">
        <v>22</v>
      </c>
      <c r="H226" s="173" t="n">
        <v>6</v>
      </c>
      <c r="I226" s="148" t="n">
        <v>3</v>
      </c>
      <c r="J226" s="148" t="n">
        <v>3</v>
      </c>
      <c r="K226" s="149" t="n">
        <v>3851.92</v>
      </c>
      <c r="L226" s="166" t="n">
        <f aca="false">M226+N226</f>
        <v>3851.92</v>
      </c>
      <c r="M226" s="149" t="n">
        <v>3851.92</v>
      </c>
      <c r="N226" s="190"/>
      <c r="O226" s="206"/>
      <c r="P226" s="149"/>
      <c r="Q226" s="149"/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252</v>
      </c>
      <c r="G227" s="152" t="s">
        <v>26</v>
      </c>
      <c r="H227" s="174" t="n">
        <v>7</v>
      </c>
      <c r="I227" s="154"/>
      <c r="J227" s="154"/>
      <c r="K227" s="155"/>
      <c r="L227" s="166" t="n">
        <f aca="false">M227+N227</f>
        <v>0</v>
      </c>
      <c r="M227" s="155"/>
      <c r="N227" s="156"/>
      <c r="O227" s="209"/>
      <c r="P227" s="155"/>
      <c r="Q227" s="155"/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142</v>
      </c>
      <c r="C228" s="56" t="s">
        <v>20</v>
      </c>
      <c r="D228" s="56"/>
      <c r="E228" s="56" t="s">
        <v>25</v>
      </c>
      <c r="F228" s="36"/>
      <c r="G228" s="158" t="s">
        <v>22</v>
      </c>
      <c r="H228" s="173" t="n">
        <v>6</v>
      </c>
      <c r="I228" s="148" t="n">
        <v>4</v>
      </c>
      <c r="J228" s="148" t="n">
        <v>4</v>
      </c>
      <c r="K228" s="149" t="n">
        <v>3418.28</v>
      </c>
      <c r="L228" s="149" t="n">
        <f aca="false">M228+N228</f>
        <v>3418.28</v>
      </c>
      <c r="M228" s="149" t="n">
        <v>3418.28</v>
      </c>
      <c r="N228" s="190"/>
      <c r="O228" s="228" t="n">
        <v>6</v>
      </c>
      <c r="P228" s="161" t="n">
        <v>10969.43</v>
      </c>
      <c r="Q228" s="161" t="n">
        <f aca="false">R228+S228</f>
        <v>8844.46</v>
      </c>
      <c r="R228" s="161" t="n">
        <v>8844.46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42" t="s">
        <v>216</v>
      </c>
      <c r="G229" s="164" t="s">
        <v>26</v>
      </c>
      <c r="H229" s="177" t="n">
        <v>9</v>
      </c>
      <c r="I229" s="165" t="n">
        <v>4</v>
      </c>
      <c r="J229" s="165" t="n">
        <v>4</v>
      </c>
      <c r="K229" s="166" t="n">
        <v>8384.1</v>
      </c>
      <c r="L229" s="166" t="n">
        <f aca="false">M229+N229</f>
        <v>8384.1</v>
      </c>
      <c r="M229" s="166" t="n">
        <f aca="false">5167.21+823.59</f>
        <v>5990.8</v>
      </c>
      <c r="N229" s="167" t="n">
        <f aca="false">2393.3</f>
        <v>2393.3</v>
      </c>
      <c r="O229" s="238" t="n">
        <v>12</v>
      </c>
      <c r="P229" s="166" t="n">
        <v>8633.8</v>
      </c>
      <c r="Q229" s="166" t="n">
        <f aca="false">R229+S229</f>
        <v>8633.8</v>
      </c>
      <c r="R229" s="166" t="n">
        <f aca="false">823.59+1233.4+2819.2+3757.61</f>
        <v>8633.8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287</v>
      </c>
      <c r="C230" s="56" t="s">
        <v>20</v>
      </c>
      <c r="D230" s="19"/>
      <c r="E230" s="56" t="s">
        <v>25</v>
      </c>
      <c r="F230" s="20"/>
      <c r="G230" s="146" t="s">
        <v>22</v>
      </c>
      <c r="H230" s="147"/>
      <c r="I230" s="148"/>
      <c r="J230" s="148"/>
      <c r="K230" s="149"/>
      <c r="L230" s="149" t="n">
        <f aca="false">M230+N230</f>
        <v>0</v>
      </c>
      <c r="M230" s="149"/>
      <c r="N230" s="150"/>
      <c r="O230" s="206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288</v>
      </c>
      <c r="G231" s="152" t="s">
        <v>26</v>
      </c>
      <c r="H231" s="176" t="n">
        <v>5</v>
      </c>
      <c r="I231" s="154" t="n">
        <v>3</v>
      </c>
      <c r="J231" s="154" t="n">
        <v>3</v>
      </c>
      <c r="K231" s="155" t="n">
        <v>3171.6</v>
      </c>
      <c r="L231" s="155" t="n">
        <f aca="false">M231+N231</f>
        <v>3171.6</v>
      </c>
      <c r="M231" s="155" t="n">
        <f aca="false">3171.6</f>
        <v>3171.6</v>
      </c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33"/>
      <c r="B232" s="34" t="s">
        <v>143</v>
      </c>
      <c r="C232" s="35" t="s">
        <v>20</v>
      </c>
      <c r="D232" s="35"/>
      <c r="E232" s="35" t="s">
        <v>25</v>
      </c>
      <c r="F232" s="36"/>
      <c r="G232" s="158" t="s">
        <v>22</v>
      </c>
      <c r="H232" s="169" t="n">
        <v>1</v>
      </c>
      <c r="I232" s="160"/>
      <c r="J232" s="160"/>
      <c r="K232" s="161"/>
      <c r="L232" s="161" t="n">
        <f aca="false">M232+N232</f>
        <v>0</v>
      </c>
      <c r="M232" s="161"/>
      <c r="N232" s="190"/>
      <c r="O232" s="163" t="n">
        <v>1</v>
      </c>
      <c r="P232" s="161" t="n">
        <v>1515.67</v>
      </c>
      <c r="Q232" s="161" t="n">
        <f aca="false">R232+S232</f>
        <v>1515.67</v>
      </c>
      <c r="R232" s="161" t="n">
        <v>1515.67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42" t="s">
        <v>217</v>
      </c>
      <c r="G233" s="164" t="s">
        <v>26</v>
      </c>
      <c r="H233" s="171" t="n">
        <v>8</v>
      </c>
      <c r="I233" s="165" t="n">
        <v>3</v>
      </c>
      <c r="J233" s="165" t="n">
        <v>3</v>
      </c>
      <c r="K233" s="166" t="n">
        <v>8375.85</v>
      </c>
      <c r="L233" s="166" t="n">
        <f aca="false">M233+N233</f>
        <v>11100.6</v>
      </c>
      <c r="M233" s="166" t="n">
        <f aca="false">704.8+10395.8</f>
        <v>11100.6</v>
      </c>
      <c r="N233" s="156"/>
      <c r="O233" s="168" t="n">
        <v>8</v>
      </c>
      <c r="P233" s="166" t="n">
        <v>34775.2</v>
      </c>
      <c r="Q233" s="166" t="n">
        <f aca="false">R233+S233</f>
        <v>21496.4</v>
      </c>
      <c r="R233" s="166" t="n">
        <f aca="false">704.8+13038.8+511.81</f>
        <v>14255.41</v>
      </c>
      <c r="S233" s="156" t="n">
        <v>7240.99</v>
      </c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144</v>
      </c>
      <c r="C234" s="19" t="s">
        <v>20</v>
      </c>
      <c r="D234" s="19"/>
      <c r="E234" s="19" t="s">
        <v>81</v>
      </c>
      <c r="F234" s="20"/>
      <c r="G234" s="146" t="s">
        <v>22</v>
      </c>
      <c r="H234" s="159" t="n">
        <v>13</v>
      </c>
      <c r="I234" s="148" t="n">
        <v>8</v>
      </c>
      <c r="J234" s="148" t="n">
        <v>9</v>
      </c>
      <c r="K234" s="149" t="n">
        <v>8917.05</v>
      </c>
      <c r="L234" s="149" t="n">
        <f aca="false">M234+N234</f>
        <v>7588.94</v>
      </c>
      <c r="M234" s="149" t="n">
        <v>7588.94</v>
      </c>
      <c r="N234" s="190"/>
      <c r="O234" s="151" t="n">
        <v>6</v>
      </c>
      <c r="P234" s="149" t="n">
        <v>24751.07</v>
      </c>
      <c r="Q234" s="149" t="n">
        <f aca="false">R234+S234</f>
        <v>16284.3</v>
      </c>
      <c r="R234" s="149" t="n">
        <v>16284.3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218</v>
      </c>
      <c r="G235" s="152" t="s">
        <v>26</v>
      </c>
      <c r="H235" s="171" t="n">
        <v>7</v>
      </c>
      <c r="I235" s="154" t="n">
        <v>3</v>
      </c>
      <c r="J235" s="154" t="n">
        <v>3</v>
      </c>
      <c r="K235" s="155" t="n">
        <v>5341.3</v>
      </c>
      <c r="L235" s="155" t="n">
        <f aca="false">M235+N235</f>
        <v>5019.13</v>
      </c>
      <c r="M235" s="155" t="n">
        <f aca="false">4052.6</f>
        <v>4052.6</v>
      </c>
      <c r="N235" s="156" t="n">
        <f aca="false">966.53</f>
        <v>966.53</v>
      </c>
      <c r="O235" s="157" t="n">
        <v>2</v>
      </c>
      <c r="P235" s="155" t="s">
        <v>151</v>
      </c>
      <c r="Q235" s="155" t="n">
        <f aca="false">R235+S235</f>
        <v>4493.1</v>
      </c>
      <c r="R235" s="155" t="n">
        <f aca="false">4493.1</f>
        <v>4493.1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33"/>
      <c r="B236" s="34" t="s">
        <v>145</v>
      </c>
      <c r="C236" s="35" t="s">
        <v>20</v>
      </c>
      <c r="D236" s="35"/>
      <c r="E236" s="35" t="s">
        <v>98</v>
      </c>
      <c r="F236" s="36"/>
      <c r="G236" s="146" t="s">
        <v>22</v>
      </c>
      <c r="H236" s="169"/>
      <c r="I236" s="160"/>
      <c r="J236" s="160"/>
      <c r="K236" s="161"/>
      <c r="L236" s="161" t="n">
        <f aca="false">M236+N236</f>
        <v>0</v>
      </c>
      <c r="M236" s="161"/>
      <c r="N236" s="190"/>
      <c r="O236" s="163"/>
      <c r="P236" s="161"/>
      <c r="Q236" s="161" t="n">
        <f aca="false">R236+S236</f>
        <v>0</v>
      </c>
      <c r="R236" s="161"/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34"/>
      <c r="C237" s="34"/>
      <c r="D237" s="34"/>
      <c r="E237" s="34"/>
      <c r="F237" s="71"/>
      <c r="G237" s="164" t="s">
        <v>23</v>
      </c>
      <c r="H237" s="175"/>
      <c r="I237" s="165"/>
      <c r="J237" s="165"/>
      <c r="K237" s="166"/>
      <c r="L237" s="166" t="n">
        <f aca="false">M237+N237</f>
        <v>0</v>
      </c>
      <c r="M237" s="166"/>
      <c r="N237" s="156"/>
      <c r="O237" s="168"/>
      <c r="P237" s="166"/>
      <c r="Q237" s="166" t="n">
        <f aca="false">R237+S237</f>
        <v>0</v>
      </c>
      <c r="R237" s="166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146</v>
      </c>
      <c r="C238" s="19" t="s">
        <v>20</v>
      </c>
      <c r="D238" s="19"/>
      <c r="E238" s="19" t="s">
        <v>25</v>
      </c>
      <c r="F238" s="22"/>
      <c r="G238" s="146" t="s">
        <v>22</v>
      </c>
      <c r="H238" s="173" t="n">
        <v>12</v>
      </c>
      <c r="I238" s="148" t="n">
        <v>9</v>
      </c>
      <c r="J238" s="148" t="n">
        <v>11</v>
      </c>
      <c r="K238" s="149" t="n">
        <v>13677.7</v>
      </c>
      <c r="L238" s="149" t="n">
        <f aca="false">M238+N238</f>
        <v>10138.98</v>
      </c>
      <c r="M238" s="149" t="n">
        <v>10138.98</v>
      </c>
      <c r="N238" s="190"/>
      <c r="O238" s="206" t="n">
        <v>2</v>
      </c>
      <c r="P238" s="149" t="n">
        <v>15606.38</v>
      </c>
      <c r="Q238" s="149" t="n">
        <f aca="false">R238+S238</f>
        <v>15606.38</v>
      </c>
      <c r="R238" s="149" t="n">
        <v>15606.38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42" t="s">
        <v>219</v>
      </c>
      <c r="G239" s="164" t="s">
        <v>26</v>
      </c>
      <c r="H239" s="178" t="n">
        <v>3</v>
      </c>
      <c r="I239" s="165" t="n">
        <v>1</v>
      </c>
      <c r="J239" s="165" t="n">
        <v>1</v>
      </c>
      <c r="K239" s="166" t="n">
        <v>1585.8</v>
      </c>
      <c r="L239" s="166" t="n">
        <f aca="false">M239+N239</f>
        <v>1585.8</v>
      </c>
      <c r="M239" s="166" t="n">
        <f aca="false">1585.8</f>
        <v>1585.8</v>
      </c>
      <c r="N239" s="167"/>
      <c r="O239" s="238" t="n">
        <v>1</v>
      </c>
      <c r="P239" s="166" t="n">
        <v>1585.8</v>
      </c>
      <c r="Q239" s="166" t="n">
        <f aca="false">R239+S239</f>
        <v>1585.8</v>
      </c>
      <c r="R239" s="166" t="n">
        <v>1585.8</v>
      </c>
      <c r="S239" s="167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17"/>
      <c r="B240" s="18" t="s">
        <v>289</v>
      </c>
      <c r="C240" s="19"/>
      <c r="D240" s="19"/>
      <c r="E240" s="19"/>
      <c r="F240" s="20"/>
      <c r="G240" s="146" t="s">
        <v>22</v>
      </c>
      <c r="H240" s="173" t="n">
        <v>5</v>
      </c>
      <c r="I240" s="148" t="n">
        <v>4</v>
      </c>
      <c r="J240" s="148" t="n">
        <v>7</v>
      </c>
      <c r="K240" s="149" t="n">
        <v>7648.67</v>
      </c>
      <c r="L240" s="149" t="n">
        <f aca="false">M240+N240</f>
        <v>2643</v>
      </c>
      <c r="M240" s="149" t="n">
        <v>2643</v>
      </c>
      <c r="N240" s="224"/>
      <c r="O240" s="151"/>
      <c r="P240" s="149"/>
      <c r="Q240" s="149" t="n">
        <f aca="false">R240+S240</f>
        <v>0</v>
      </c>
      <c r="R240" s="149"/>
      <c r="S240" s="15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57"/>
      <c r="G241" s="152" t="s">
        <v>23</v>
      </c>
      <c r="H241" s="174" t="n">
        <v>2</v>
      </c>
      <c r="I241" s="154" t="n">
        <v>1</v>
      </c>
      <c r="J241" s="154" t="n">
        <v>1</v>
      </c>
      <c r="K241" s="155" t="n">
        <v>2325.84</v>
      </c>
      <c r="L241" s="155" t="n">
        <v>2325.84</v>
      </c>
      <c r="M241" s="155" t="n">
        <v>2325.84</v>
      </c>
      <c r="N241" s="226"/>
      <c r="O241" s="157"/>
      <c r="P241" s="155"/>
      <c r="Q241" s="155" t="n">
        <f aca="false">R241+S241</f>
        <v>0</v>
      </c>
      <c r="R241" s="155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54"/>
      <c r="B242" s="55" t="s">
        <v>147</v>
      </c>
      <c r="C242" s="56" t="s">
        <v>20</v>
      </c>
      <c r="D242" s="56"/>
      <c r="E242" s="56" t="s">
        <v>25</v>
      </c>
      <c r="F242" s="97"/>
      <c r="G242" s="158" t="s">
        <v>22</v>
      </c>
      <c r="H242" s="159" t="n">
        <v>4</v>
      </c>
      <c r="I242" s="160" t="n">
        <v>3</v>
      </c>
      <c r="J242" s="160" t="n">
        <v>3</v>
      </c>
      <c r="K242" s="161" t="n">
        <v>2093.26</v>
      </c>
      <c r="L242" s="161" t="n">
        <f aca="false">M242+N242</f>
        <v>2093.26</v>
      </c>
      <c r="M242" s="161" t="n">
        <v>2093.26</v>
      </c>
      <c r="N242" s="190"/>
      <c r="O242" s="163" t="n">
        <v>4</v>
      </c>
      <c r="P242" s="161" t="n">
        <v>16436.74</v>
      </c>
      <c r="Q242" s="161" t="n">
        <f aca="false">R242+S242</f>
        <v>16436.74</v>
      </c>
      <c r="R242" s="161" t="n">
        <v>16436.74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54"/>
      <c r="B243" s="55"/>
      <c r="C243" s="55"/>
      <c r="D243" s="55"/>
      <c r="E243" s="55"/>
      <c r="F243" s="42" t="s">
        <v>220</v>
      </c>
      <c r="G243" s="164" t="s">
        <v>26</v>
      </c>
      <c r="H243" s="172" t="n">
        <v>12</v>
      </c>
      <c r="I243" s="165" t="n">
        <v>2</v>
      </c>
      <c r="J243" s="165" t="n">
        <v>3</v>
      </c>
      <c r="K243" s="166" t="n">
        <v>9162.4</v>
      </c>
      <c r="L243" s="189" t="n">
        <f aca="false">M243+N243</f>
        <v>4228.8</v>
      </c>
      <c r="M243" s="166" t="n">
        <f aca="false">528.6+3700.2</f>
        <v>4228.8</v>
      </c>
      <c r="N243" s="167"/>
      <c r="O243" s="168" t="n">
        <v>5</v>
      </c>
      <c r="P243" s="166" t="n">
        <v>18677.2</v>
      </c>
      <c r="Q243" s="189" t="n">
        <f aca="false">R243+S243</f>
        <v>18677.2</v>
      </c>
      <c r="R243" s="166" t="n">
        <f aca="false">7048+528.6+5638.4+5462.2</f>
        <v>18677.2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17"/>
      <c r="B244" s="18" t="s">
        <v>297</v>
      </c>
      <c r="C244" s="19"/>
      <c r="D244" s="19"/>
      <c r="E244" s="19" t="s">
        <v>25</v>
      </c>
      <c r="F244" s="22"/>
      <c r="G244" s="146" t="s">
        <v>22</v>
      </c>
      <c r="H244" s="173" t="n">
        <v>1</v>
      </c>
      <c r="I244" s="148"/>
      <c r="J244" s="148"/>
      <c r="K244" s="149"/>
      <c r="L244" s="149" t="n">
        <f aca="false">M244+N244</f>
        <v>0</v>
      </c>
      <c r="M244" s="149"/>
      <c r="N244" s="150"/>
      <c r="O244" s="206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17"/>
      <c r="B245" s="18"/>
      <c r="C245" s="18"/>
      <c r="D245" s="18"/>
      <c r="E245" s="18"/>
      <c r="F245" s="26"/>
      <c r="G245" s="152" t="s">
        <v>26</v>
      </c>
      <c r="H245" s="174"/>
      <c r="I245" s="154"/>
      <c r="J245" s="154"/>
      <c r="K245" s="155"/>
      <c r="L245" s="155" t="n">
        <f aca="false">M245+N245</f>
        <v>0</v>
      </c>
      <c r="M245" s="155"/>
      <c r="N245" s="156"/>
      <c r="O245" s="209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54"/>
      <c r="B246" s="55" t="s">
        <v>148</v>
      </c>
      <c r="C246" s="56" t="s">
        <v>20</v>
      </c>
      <c r="D246" s="56"/>
      <c r="E246" s="56" t="s">
        <v>21</v>
      </c>
      <c r="F246" s="38"/>
      <c r="G246" s="158" t="s">
        <v>22</v>
      </c>
      <c r="H246" s="159" t="n">
        <v>2</v>
      </c>
      <c r="I246" s="160" t="n">
        <v>1</v>
      </c>
      <c r="J246" s="160" t="n">
        <v>1</v>
      </c>
      <c r="K246" s="161" t="n">
        <v>436.1</v>
      </c>
      <c r="L246" s="161" t="n">
        <f aca="false">M246+N246</f>
        <v>436.1</v>
      </c>
      <c r="M246" s="161" t="n">
        <v>436.1</v>
      </c>
      <c r="N246" s="190"/>
      <c r="O246" s="163" t="n">
        <v>1</v>
      </c>
      <c r="P246" s="161" t="n">
        <v>13232.99</v>
      </c>
      <c r="Q246" s="161" t="n">
        <f aca="false">R246+S246</f>
        <v>13232.99</v>
      </c>
      <c r="R246" s="161" t="n">
        <v>13232.99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55"/>
      <c r="C247" s="55"/>
      <c r="D247" s="55"/>
      <c r="E247" s="55"/>
      <c r="F247" s="26" t="s">
        <v>248</v>
      </c>
      <c r="G247" s="152" t="s">
        <v>23</v>
      </c>
      <c r="H247" s="171" t="n">
        <v>2</v>
      </c>
      <c r="I247" s="154"/>
      <c r="J247" s="154"/>
      <c r="K247" s="155"/>
      <c r="L247" s="155" t="n">
        <f aca="false">M247+N247</f>
        <v>0</v>
      </c>
      <c r="M247" s="155"/>
      <c r="N247" s="156"/>
      <c r="O247" s="157" t="n">
        <v>1</v>
      </c>
      <c r="P247" s="155" t="n">
        <v>572.65</v>
      </c>
      <c r="Q247" s="155" t="n">
        <v>572.65</v>
      </c>
      <c r="R247" s="155" t="n">
        <v>572.65</v>
      </c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.75" hidden="false" customHeight="true" outlineLevel="0" collapsed="false">
      <c r="A248" s="99"/>
      <c r="B248" s="100" t="s">
        <v>149</v>
      </c>
      <c r="C248" s="100"/>
      <c r="D248" s="100"/>
      <c r="E248" s="100"/>
      <c r="F248" s="100"/>
      <c r="G248" s="212"/>
      <c r="H248" s="213" t="n">
        <f aca="false">SUM(H9:H247)</f>
        <v>1878</v>
      </c>
      <c r="I248" s="214" t="n">
        <f aca="false">SUM(I9:I247)</f>
        <v>1164</v>
      </c>
      <c r="J248" s="214" t="n">
        <f aca="false">SUM(J9:J247)</f>
        <v>1364</v>
      </c>
      <c r="K248" s="215" t="n">
        <f aca="false">SUM(K9:K247)</f>
        <v>2243531.13</v>
      </c>
      <c r="L248" s="215" t="n">
        <f aca="false">SUM(L9:L247)</f>
        <v>1518681.46</v>
      </c>
      <c r="M248" s="215" t="n">
        <f aca="false">SUM(M9:M247)</f>
        <v>1416076.27</v>
      </c>
      <c r="N248" s="243" t="n">
        <f aca="false">SUM(N9:N247)</f>
        <v>106833.99</v>
      </c>
      <c r="O248" s="244" t="n">
        <f aca="false">SUM(O9:O247)</f>
        <v>1072</v>
      </c>
      <c r="P248" s="245" t="n">
        <f aca="false">SUM(P9:P247)</f>
        <v>3711300.92</v>
      </c>
      <c r="Q248" s="245" t="n">
        <f aca="false">SUM(Q9:Q247)</f>
        <v>3117348.78</v>
      </c>
      <c r="R248" s="245" t="n">
        <f aca="false">SUM(R9:R247)</f>
        <v>2871746.61</v>
      </c>
      <c r="S248" s="246" t="n">
        <f aca="false">SUM(S9:S247)</f>
        <v>245602.17</v>
      </c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 t="s">
        <v>290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true" outlineLevel="0" collapsed="false">
      <c r="A252" s="2"/>
      <c r="B252" s="2"/>
      <c r="C252" s="2"/>
      <c r="D252" s="2"/>
      <c r="E252" s="2"/>
      <c r="F252" s="103"/>
      <c r="G252" s="104" t="s">
        <v>5</v>
      </c>
      <c r="H252" s="104"/>
      <c r="I252" s="104"/>
      <c r="J252" s="104"/>
      <c r="K252" s="104"/>
      <c r="L252" s="104"/>
      <c r="M252" s="104"/>
      <c r="N252" s="104" t="s">
        <v>6</v>
      </c>
      <c r="O252" s="104"/>
      <c r="P252" s="104"/>
      <c r="Q252" s="104"/>
      <c r="R252" s="104"/>
      <c r="S252" s="105" t="s">
        <v>150</v>
      </c>
      <c r="T252" s="105" t="s">
        <v>253</v>
      </c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103"/>
      <c r="G253" s="106" t="s">
        <v>13</v>
      </c>
      <c r="H253" s="106" t="s">
        <v>14</v>
      </c>
      <c r="I253" s="106" t="s">
        <v>15</v>
      </c>
      <c r="J253" s="106" t="s">
        <v>226</v>
      </c>
      <c r="K253" s="106" t="s">
        <v>16</v>
      </c>
      <c r="L253" s="106" t="s">
        <v>17</v>
      </c>
      <c r="M253" s="106" t="s">
        <v>18</v>
      </c>
      <c r="N253" s="106" t="s">
        <v>15</v>
      </c>
      <c r="O253" s="106" t="s">
        <v>226</v>
      </c>
      <c r="P253" s="106" t="s">
        <v>16</v>
      </c>
      <c r="Q253" s="106" t="s">
        <v>17</v>
      </c>
      <c r="R253" s="106" t="s">
        <v>18</v>
      </c>
      <c r="S253" s="105"/>
      <c r="T253" s="105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107" t="s">
        <v>22</v>
      </c>
      <c r="G254" s="108" t="n">
        <f aca="false">SUMIF($G$9:$G$247,$F$254,H9:H247)</f>
        <v>1257</v>
      </c>
      <c r="H254" s="108" t="n">
        <f aca="false">SUMIF($G$9:$G$247,$F$254,I9:I247)</f>
        <v>887</v>
      </c>
      <c r="I254" s="108" t="n">
        <f aca="false">SUMIF($G$9:$G$247,$F$254,J9:J247)</f>
        <v>1083</v>
      </c>
      <c r="J254" s="110" t="n">
        <f aca="false">SUMIF($G$9:$G$247,F254,$K$9:$K$247)</f>
        <v>1793462.86</v>
      </c>
      <c r="K254" s="110" t="n">
        <f aca="false">SUMIF($G$9:$G$247,$F$254,L9:L247)</f>
        <v>1233720.65</v>
      </c>
      <c r="L254" s="110" t="n">
        <f aca="false">SUMIF($G$9:$G$247,$F$254,M9:M247)</f>
        <v>1161828.62</v>
      </c>
      <c r="M254" s="110" t="n">
        <f aca="false">SUMIF($G$9:$G$247,$F$254,N9:N247)</f>
        <v>71892.03</v>
      </c>
      <c r="N254" s="108" t="n">
        <f aca="false">SUMIF($G$9:$G$247,$F$254,O9:O247)</f>
        <v>712</v>
      </c>
      <c r="O254" s="110" t="n">
        <f aca="false">SUMIF($G$9:$G$247,F254,$P$9:$P$247)</f>
        <v>2931532.29</v>
      </c>
      <c r="P254" s="110" t="n">
        <f aca="false">SUMIF($G$9:$G$247,$F$254,Q9:Q247)</f>
        <v>2309889.01</v>
      </c>
      <c r="Q254" s="110" t="n">
        <f aca="false">SUMIF($G$9:$G$247,$F$254,R9:R247)</f>
        <v>2215256.28</v>
      </c>
      <c r="R254" s="110" t="n">
        <f aca="false">SUMIF($G$9:$G$247,$F$254,S9:S247)</f>
        <v>94632.73</v>
      </c>
      <c r="S254" s="110" t="n">
        <f aca="false">Q254+L254</f>
        <v>3377084.9</v>
      </c>
      <c r="T254" s="111" t="n">
        <f aca="false">J254-L254+O254-Q254</f>
        <v>1347910.25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7" t="s">
        <v>26</v>
      </c>
      <c r="G255" s="108" t="n">
        <f aca="false">SUMIF($G$9:$G$247,$F$255,H9:H247)</f>
        <v>394</v>
      </c>
      <c r="H255" s="108" t="n">
        <v>20</v>
      </c>
      <c r="I255" s="108" t="n">
        <f aca="false">SUMIF($G$9:$G$247,$F$255,J9:J247)</f>
        <v>152</v>
      </c>
      <c r="J255" s="110" t="n">
        <f aca="false">SUMIF($G$9:$G$247,F255,$K$9:$K$247)</f>
        <v>299378.32</v>
      </c>
      <c r="K255" s="110" t="n">
        <f aca="false">SUMIF($G$9:$G$247,$F$255,L9:L247)</f>
        <v>204872</v>
      </c>
      <c r="L255" s="110" t="n">
        <f aca="false">SUMIF($G$9:$G$247,$F$255,M9:M247)</f>
        <v>174158.84</v>
      </c>
      <c r="M255" s="110" t="n">
        <f aca="false">SUMIF($G$9:$G$247,$F$255,N9:N247)</f>
        <v>34941.96</v>
      </c>
      <c r="N255" s="108" t="n">
        <f aca="false">SUMIF($G$9:$G$247,$F$255,O9:O247)</f>
        <v>242</v>
      </c>
      <c r="O255" s="110" t="n">
        <f aca="false">SUMIF($G$9:$G$247,F255,$P$9:$P$247)</f>
        <v>548193.01</v>
      </c>
      <c r="P255" s="110" t="n">
        <f aca="false">SUMIF($G$9:$G$247,$F$255,Q9:Q247)</f>
        <v>660282.6</v>
      </c>
      <c r="Q255" s="110" t="n">
        <f aca="false">SUMIF($G$9:$G$247,$F$255,R9:R247)</f>
        <v>509313.16</v>
      </c>
      <c r="R255" s="110" t="n">
        <f aca="false">SUMIF($G$9:$G$247,$F$255,S9:S247)</f>
        <v>150969.44</v>
      </c>
      <c r="S255" s="110" t="n">
        <f aca="false">Q255+L255</f>
        <v>683472</v>
      </c>
      <c r="T255" s="111" t="n">
        <f aca="false">J255-L255+O255-Q255</f>
        <v>164099.33</v>
      </c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23</v>
      </c>
      <c r="G256" s="108" t="n">
        <f aca="false">SUMIF($G$9:$G$247,$F$256,H9:H247)</f>
        <v>227</v>
      </c>
      <c r="H256" s="108" t="n">
        <f aca="false">SUMIF($G$9:$G$247,$F$256,I9:I247)</f>
        <v>129</v>
      </c>
      <c r="I256" s="108" t="n">
        <f aca="false">SUMIF($G$9:$G$247,$F$256,J9:J247)</f>
        <v>129</v>
      </c>
      <c r="J256" s="110" t="n">
        <f aca="false">SUMIF($G$9:$G$247,F256,$K$9:$K$247)</f>
        <v>150689.95</v>
      </c>
      <c r="K256" s="110" t="n">
        <f aca="false">SUMIF($G$9:$G$247,$F$256,L9:L247)</f>
        <v>80088.81</v>
      </c>
      <c r="L256" s="110" t="n">
        <f aca="false">SUMIF($G$9:$G$247,$F$256,M9:M247)</f>
        <v>80088.81</v>
      </c>
      <c r="M256" s="110" t="n">
        <f aca="false">SUMIF($G$9:$G$247,$F$256,N9:N247)</f>
        <v>0</v>
      </c>
      <c r="N256" s="108" t="n">
        <f aca="false">SUMIF($G$9:$G$247,$F$256,O9:O247)</f>
        <v>118</v>
      </c>
      <c r="O256" s="110" t="n">
        <f aca="false">SUMIF($G$9:$G$247,F256,$P$9:$P$247)</f>
        <v>231575.62</v>
      </c>
      <c r="P256" s="110" t="n">
        <f aca="false">SUMIF($G$9:$G$247,$F$256,Q9:Q247)</f>
        <v>147177.17</v>
      </c>
      <c r="Q256" s="110" t="n">
        <f aca="false">SUMIF($G$9:$G$247,$F$256,R9:R247)</f>
        <v>147177.17</v>
      </c>
      <c r="R256" s="110" t="n">
        <f aca="false">SUMIF($G$9:$G$247,$F$256,S9:S247)</f>
        <v>0</v>
      </c>
      <c r="S256" s="110" t="n">
        <f aca="false">Q256+L256</f>
        <v>227265.98</v>
      </c>
      <c r="T256" s="111" t="n">
        <f aca="false">J256-L256+O256-Q256</f>
        <v>154999.59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16" t="n">
        <f aca="false">G256+G255+G254</f>
        <v>1878</v>
      </c>
      <c r="H257" s="216" t="n">
        <f aca="false">H256+H255+H254</f>
        <v>1036</v>
      </c>
      <c r="I257" s="216" t="n">
        <f aca="false">I256+I255+I254</f>
        <v>1364</v>
      </c>
      <c r="J257" s="217" t="n">
        <f aca="false">J256+J255+J254</f>
        <v>2243531.13</v>
      </c>
      <c r="K257" s="217" t="n">
        <f aca="false">K256+K255+K254</f>
        <v>1518681.46</v>
      </c>
      <c r="L257" s="217" t="n">
        <f aca="false">L256+L255+L254</f>
        <v>1416076.27</v>
      </c>
      <c r="M257" s="217" t="n">
        <f aca="false">M256+M255+M254</f>
        <v>106833.99</v>
      </c>
      <c r="N257" s="216" t="n">
        <f aca="false">N256+N255+N254</f>
        <v>1072</v>
      </c>
      <c r="O257" s="217" t="n">
        <f aca="false">O256+O255+O254</f>
        <v>3711300.92</v>
      </c>
      <c r="P257" s="217" t="n">
        <f aca="false">P256+P255+P254</f>
        <v>3117348.78</v>
      </c>
      <c r="Q257" s="217" t="n">
        <f aca="false">Q256+Q255+Q254</f>
        <v>2871746.61</v>
      </c>
      <c r="R257" s="217" t="n">
        <f aca="false">R256+R255+R254</f>
        <v>245602.17</v>
      </c>
      <c r="S257" s="217" t="n">
        <f aca="false">S256+S255+S254</f>
        <v>4287822.88</v>
      </c>
      <c r="T257" s="217" t="n">
        <f aca="false">T256+T255+T254</f>
        <v>1667009.17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F318" s="0" t="s">
        <v>22</v>
      </c>
      <c r="G318" s="0" t="n">
        <v>1257</v>
      </c>
      <c r="H318" s="247" t="n">
        <v>887</v>
      </c>
      <c r="I318" s="247" t="n">
        <v>1083</v>
      </c>
      <c r="J318" s="0" t="n">
        <v>1793462.86</v>
      </c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</sheetData>
  <mergeCells count="59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9"/>
    <mergeCell ref="B177:B179"/>
    <mergeCell ref="C177:C179"/>
    <mergeCell ref="D177:D179"/>
    <mergeCell ref="E177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B186:B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F252:F253"/>
    <mergeCell ref="G252:M252"/>
    <mergeCell ref="N252:R252"/>
    <mergeCell ref="S252:S253"/>
    <mergeCell ref="T252:T25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9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23</v>
      </c>
      <c r="I11" s="160" t="n">
        <v>17</v>
      </c>
      <c r="J11" s="160" t="n">
        <v>29</v>
      </c>
      <c r="K11" s="161" t="n">
        <v>58793.86</v>
      </c>
      <c r="L11" s="161" t="n">
        <f aca="false">M11+N11</f>
        <v>58793.86</v>
      </c>
      <c r="M11" s="161" t="n">
        <v>58793.86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5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34</v>
      </c>
      <c r="K13" s="149" t="n">
        <v>47749.23</v>
      </c>
      <c r="L13" s="149" t="n">
        <f aca="false">M13+N13</f>
        <v>47749.23</v>
      </c>
      <c r="M13" s="149" t="n">
        <v>38950.58</v>
      </c>
      <c r="N13" s="249" t="n">
        <v>8798.65</v>
      </c>
      <c r="O13" s="228" t="n">
        <v>6</v>
      </c>
      <c r="P13" s="161" t="n">
        <v>14938.98</v>
      </c>
      <c r="Q13" s="161" t="n">
        <f aca="false">R13+S13</f>
        <v>14938.98</v>
      </c>
      <c r="R13" s="161" t="n">
        <v>14423.5</v>
      </c>
      <c r="S13" s="190" t="n">
        <v>515.48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11593.96</v>
      </c>
      <c r="M14" s="155" t="n">
        <f aca="false">1938.2+5638.4</f>
        <v>7576.6</v>
      </c>
      <c r="N14" s="156" t="n">
        <f aca="false">4017.36</f>
        <v>4017.36</v>
      </c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7224.2</v>
      </c>
      <c r="R15" s="149" t="n">
        <v>7224.2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19515.9</v>
      </c>
      <c r="Q16" s="166" t="n">
        <f aca="false">R16+S16</f>
        <v>23434.6</v>
      </c>
      <c r="R16" s="166" t="n">
        <f aca="false">10924.4+4933.6</f>
        <v>15858</v>
      </c>
      <c r="S16" s="167" t="n">
        <f aca="false">7576.6</f>
        <v>7576.6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/>
      <c r="S17" s="150" t="n">
        <v>54835.07</v>
      </c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7</v>
      </c>
      <c r="I19" s="160" t="n">
        <v>5</v>
      </c>
      <c r="J19" s="160" t="n">
        <v>6</v>
      </c>
      <c r="K19" s="161" t="n">
        <v>7035.06</v>
      </c>
      <c r="L19" s="161" t="n">
        <f aca="false">M19+N19</f>
        <v>0</v>
      </c>
      <c r="M19" s="161"/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5</v>
      </c>
      <c r="I20" s="154" t="n">
        <v>3</v>
      </c>
      <c r="J20" s="154" t="n">
        <v>3</v>
      </c>
      <c r="K20" s="155" t="n">
        <v>2828.1</v>
      </c>
      <c r="L20" s="155" t="n">
        <f aca="false">M20+N20</f>
        <v>1363.4</v>
      </c>
      <c r="M20" s="155" t="n">
        <f aca="false">704.8</f>
        <v>704.8</v>
      </c>
      <c r="N20" s="226" t="n">
        <v>658.6</v>
      </c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20</v>
      </c>
      <c r="I21" s="160" t="n">
        <v>14</v>
      </c>
      <c r="J21" s="160" t="n">
        <v>16</v>
      </c>
      <c r="K21" s="161" t="n">
        <v>21199.65</v>
      </c>
      <c r="L21" s="161" t="n">
        <f aca="false">M21+N21</f>
        <v>14830.79</v>
      </c>
      <c r="M21" s="161" t="n">
        <v>13377.14</v>
      </c>
      <c r="N21" s="190" t="n">
        <v>1453.65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36873.8</v>
      </c>
      <c r="S21" s="190" t="n">
        <v>6706.42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1</v>
      </c>
      <c r="J22" s="154" t="n">
        <v>1</v>
      </c>
      <c r="K22" s="155" t="n">
        <v>1762</v>
      </c>
      <c r="L22" s="155" t="n">
        <f aca="false">M22+N22</f>
        <v>0</v>
      </c>
      <c r="M22" s="155"/>
      <c r="N22" s="156"/>
      <c r="O22" s="157" t="n">
        <v>3</v>
      </c>
      <c r="P22" s="155"/>
      <c r="Q22" s="155" t="n">
        <f aca="false">R22+S22</f>
        <v>4052.6</v>
      </c>
      <c r="R22" s="155"/>
      <c r="S22" s="167" t="n">
        <f aca="false">4052.6</f>
        <v>4052.6</v>
      </c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22</v>
      </c>
      <c r="J23" s="160" t="n">
        <v>35</v>
      </c>
      <c r="K23" s="161" t="n">
        <v>49111.54</v>
      </c>
      <c r="L23" s="161" t="n">
        <f aca="false">M23+N23</f>
        <v>36599.36</v>
      </c>
      <c r="M23" s="161" t="n">
        <v>28289.78</v>
      </c>
      <c r="N23" s="190" t="n">
        <v>8309.58</v>
      </c>
      <c r="O23" s="151" t="n">
        <v>24</v>
      </c>
      <c r="P23" s="149" t="n">
        <v>51971.06</v>
      </c>
      <c r="Q23" s="149" t="n">
        <f aca="false">R23+S23</f>
        <v>47120.13</v>
      </c>
      <c r="R23" s="149" t="n">
        <v>34926.57</v>
      </c>
      <c r="S23" s="198" t="n">
        <v>12193.56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23</v>
      </c>
      <c r="I25" s="148" t="n">
        <v>19</v>
      </c>
      <c r="J25" s="148" t="n">
        <v>19</v>
      </c>
      <c r="K25" s="148" t="n">
        <v>7731.32</v>
      </c>
      <c r="L25" s="149" t="n">
        <f aca="false">M25+N25</f>
        <v>4140.7</v>
      </c>
      <c r="M25" s="149" t="n">
        <v>4140.7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5</v>
      </c>
      <c r="J26" s="154" t="n">
        <v>5</v>
      </c>
      <c r="K26" s="155" t="n">
        <v>8773.6</v>
      </c>
      <c r="L26" s="155" t="n">
        <f aca="false">M26+N26</f>
        <v>5483.5</v>
      </c>
      <c r="M26" s="155"/>
      <c r="N26" s="156" t="n">
        <f aca="false">5483.5</f>
        <v>5483.5</v>
      </c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25</v>
      </c>
      <c r="I27" s="160" t="n">
        <v>24</v>
      </c>
      <c r="J27" s="160" t="n">
        <v>36</v>
      </c>
      <c r="K27" s="161" t="n">
        <v>66484.39</v>
      </c>
      <c r="L27" s="161" t="n">
        <f aca="false">M27+N27</f>
        <v>68607.98</v>
      </c>
      <c r="M27" s="161" t="n">
        <v>43954.53</v>
      </c>
      <c r="N27" s="190" t="n">
        <v>24653.45</v>
      </c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7</v>
      </c>
      <c r="I28" s="165" t="n">
        <v>4</v>
      </c>
      <c r="J28" s="165" t="n">
        <v>4</v>
      </c>
      <c r="K28" s="166" t="n">
        <v>3126.95</v>
      </c>
      <c r="L28" s="166" t="n">
        <f aca="false">M28+N28</f>
        <v>3126.95</v>
      </c>
      <c r="M28" s="166" t="n">
        <f aca="false">1409.6</f>
        <v>1409.6</v>
      </c>
      <c r="N28" s="156" t="n">
        <v>1717.35</v>
      </c>
      <c r="O28" s="157" t="n">
        <v>13</v>
      </c>
      <c r="P28" s="155" t="n">
        <v>28368.2</v>
      </c>
      <c r="Q28" s="155" t="n">
        <f aca="false">R28+S28</f>
        <v>35550.2</v>
      </c>
      <c r="R28" s="155" t="n">
        <f aca="false">2995.4+14272.2+11100.6</f>
        <v>28368.2</v>
      </c>
      <c r="S28" s="156" t="n">
        <f aca="false">4581.2+2600.8</f>
        <v>7182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19381.4</v>
      </c>
      <c r="Q30" s="166" t="n">
        <f aca="false">R30+S30</f>
        <v>44754.9</v>
      </c>
      <c r="R30" s="166" t="n">
        <f aca="false">5286+2290.6-23.95+9715.05</f>
        <v>17267.7</v>
      </c>
      <c r="S30" s="167" t="n">
        <f aca="false">27487.2</f>
        <v>27487.2</v>
      </c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3</v>
      </c>
      <c r="J34" s="165" t="n">
        <v>3</v>
      </c>
      <c r="K34" s="166" t="n">
        <v>8105.2</v>
      </c>
      <c r="L34" s="166" t="n">
        <v>2114.4</v>
      </c>
      <c r="M34" s="166" t="n">
        <v>2114.4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2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16153.14</v>
      </c>
      <c r="M37" s="161" t="n">
        <v>16153.14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8</v>
      </c>
      <c r="I38" s="154" t="n">
        <v>6</v>
      </c>
      <c r="J38" s="154" t="n">
        <v>6</v>
      </c>
      <c r="K38" s="155" t="n">
        <v>10577.5</v>
      </c>
      <c r="L38" s="155" t="n">
        <f aca="false">M38+N38</f>
        <v>9196.75</v>
      </c>
      <c r="M38" s="155" t="n">
        <f aca="false">704.8+4405</f>
        <v>5109.8</v>
      </c>
      <c r="N38" s="156" t="n">
        <f aca="false">4086.95</f>
        <v>4086.95</v>
      </c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14</v>
      </c>
      <c r="J41" s="160" t="n">
        <v>20</v>
      </c>
      <c r="K41" s="161" t="n">
        <v>38560.9</v>
      </c>
      <c r="L41" s="161" t="n">
        <f aca="false">M41+N41</f>
        <v>18145.63</v>
      </c>
      <c r="M41" s="161" t="n">
        <v>18145.63</v>
      </c>
      <c r="N41" s="190"/>
      <c r="O41" s="151" t="n">
        <v>12</v>
      </c>
      <c r="P41" s="149" t="n">
        <v>84484.98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16</v>
      </c>
      <c r="I43" s="160" t="n">
        <v>11</v>
      </c>
      <c r="J43" s="160" t="n">
        <v>15</v>
      </c>
      <c r="K43" s="161" t="n">
        <v>36053.18</v>
      </c>
      <c r="L43" s="161" t="n">
        <f aca="false">M43+N43</f>
        <v>27872.38</v>
      </c>
      <c r="M43" s="161" t="n">
        <v>27872.38</v>
      </c>
      <c r="N43" s="190"/>
      <c r="O43" s="151" t="n">
        <v>16</v>
      </c>
      <c r="P43" s="149" t="n">
        <v>56737.45</v>
      </c>
      <c r="Q43" s="149" t="n">
        <f aca="false">R43+S43</f>
        <v>55419.47</v>
      </c>
      <c r="R43" s="149" t="n">
        <v>55419.47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2119.69</v>
      </c>
      <c r="N45" s="190" t="n">
        <v>7097.31</v>
      </c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5</v>
      </c>
      <c r="P46" s="166" t="n">
        <v>13945.3</v>
      </c>
      <c r="Q46" s="166" t="n">
        <f aca="false">R46+S46</f>
        <v>15452.4</v>
      </c>
      <c r="R46" s="166" t="n">
        <f aca="false">10849.9</f>
        <v>10849.9</v>
      </c>
      <c r="S46" s="167" t="n">
        <v>4602.5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3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f aca="false">1233.4</f>
        <v>1233.4</v>
      </c>
      <c r="N48" s="156"/>
      <c r="O48" s="157" t="n">
        <v>4</v>
      </c>
      <c r="P48" s="155" t="n">
        <v>13567.4</v>
      </c>
      <c r="Q48" s="155" t="n">
        <f aca="false">R48+S48</f>
        <v>13567.4</v>
      </c>
      <c r="R48" s="155" t="n">
        <f aca="false">528.6+11453+1585.8</f>
        <v>13567.4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 t="n">
        <v>5976.7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52</v>
      </c>
      <c r="I53" s="148" t="n">
        <v>48</v>
      </c>
      <c r="J53" s="148" t="n">
        <v>49</v>
      </c>
      <c r="K53" s="149" t="n">
        <v>51553.98</v>
      </c>
      <c r="L53" s="149" t="n">
        <f aca="false">M53+N53</f>
        <v>39470.47</v>
      </c>
      <c r="M53" s="149" t="n">
        <v>39470.47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3</v>
      </c>
      <c r="J54" s="154" t="n">
        <v>3</v>
      </c>
      <c r="K54" s="155" t="n">
        <v>15858</v>
      </c>
      <c r="L54" s="155" t="n">
        <f aca="false">M54+N54</f>
        <v>9510</v>
      </c>
      <c r="M54" s="155" t="n">
        <f aca="false">1409.6</f>
        <v>1409.6</v>
      </c>
      <c r="N54" s="156" t="n">
        <v>8100.4</v>
      </c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25</v>
      </c>
      <c r="I55" s="160" t="n">
        <v>19</v>
      </c>
      <c r="J55" s="160" t="n">
        <v>25</v>
      </c>
      <c r="K55" s="161" t="n">
        <v>49769.75</v>
      </c>
      <c r="L55" s="161" t="n">
        <f aca="false">M55+N55</f>
        <v>28323.14</v>
      </c>
      <c r="M55" s="161" t="n">
        <v>22712.05</v>
      </c>
      <c r="N55" s="190" t="n">
        <v>5611.09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54609.33</v>
      </c>
      <c r="S55" s="198" t="n">
        <v>21032.38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5</v>
      </c>
      <c r="I57" s="160" t="n">
        <v>3</v>
      </c>
      <c r="J57" s="160" t="n">
        <v>3</v>
      </c>
      <c r="K57" s="161" t="n">
        <v>4345.8</v>
      </c>
      <c r="L57" s="161" t="n">
        <f aca="false">M57+N57</f>
        <v>0</v>
      </c>
      <c r="M57" s="161"/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4</v>
      </c>
      <c r="I58" s="165" t="n">
        <v>1</v>
      </c>
      <c r="J58" s="165" t="n">
        <v>1</v>
      </c>
      <c r="K58" s="166" t="n">
        <v>1057.2</v>
      </c>
      <c r="L58" s="189" t="n">
        <f aca="false">M58+N58</f>
        <v>1057.2</v>
      </c>
      <c r="M58" s="166" t="n">
        <f aca="false">1057.2</f>
        <v>1057.2</v>
      </c>
      <c r="N58" s="167"/>
      <c r="O58" s="168" t="n">
        <v>8</v>
      </c>
      <c r="P58" s="166" t="n">
        <v>18120.69</v>
      </c>
      <c r="Q58" s="189" t="n">
        <f aca="false">R58+S58</f>
        <v>25697.29</v>
      </c>
      <c r="R58" s="166" t="n">
        <f aca="false">1409.6+3672.29+13038.8</f>
        <v>18120.69</v>
      </c>
      <c r="S58" s="167" t="n">
        <f aca="false">7576.6</f>
        <v>7576.6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1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6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5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4</v>
      </c>
      <c r="I63" s="148" t="n">
        <v>2</v>
      </c>
      <c r="J63" s="148" t="n">
        <v>2</v>
      </c>
      <c r="K63" s="149" t="n">
        <v>881</v>
      </c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6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17</v>
      </c>
      <c r="K65" s="161" t="n">
        <v>33199.65</v>
      </c>
      <c r="L65" s="161" t="n">
        <f aca="false">M65+N65</f>
        <v>13482.82</v>
      </c>
      <c r="M65" s="161" t="n">
        <v>13482.82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11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8</v>
      </c>
      <c r="I68" s="154" t="n">
        <v>6</v>
      </c>
      <c r="J68" s="154" t="n">
        <v>6</v>
      </c>
      <c r="K68" s="155" t="n">
        <v>3403.1</v>
      </c>
      <c r="L68" s="155" t="n">
        <f aca="false">M68+N68</f>
        <v>2114.4</v>
      </c>
      <c r="M68" s="155" t="n">
        <v>2114.4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12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21739.72</v>
      </c>
      <c r="M69" s="161" t="n">
        <v>16500.69</v>
      </c>
      <c r="N69" s="190" t="n">
        <v>5239.03</v>
      </c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16</v>
      </c>
      <c r="I71" s="148" t="n">
        <v>12</v>
      </c>
      <c r="J71" s="148" t="n">
        <v>13</v>
      </c>
      <c r="K71" s="149" t="n">
        <v>29641.45</v>
      </c>
      <c r="L71" s="149" t="n">
        <f aca="false">M71+N71</f>
        <v>14798.19</v>
      </c>
      <c r="M71" s="149" t="n">
        <v>14798.19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25</v>
      </c>
      <c r="I73" s="160" t="n">
        <v>23</v>
      </c>
      <c r="J73" s="160" t="n">
        <v>28</v>
      </c>
      <c r="K73" s="161" t="n">
        <v>73524.55</v>
      </c>
      <c r="L73" s="161" t="n">
        <f aca="false">M73+N73</f>
        <v>3383.04</v>
      </c>
      <c r="M73" s="161" t="n">
        <v>3383.04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0</v>
      </c>
      <c r="M74" s="166"/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/>
      <c r="N76" s="156" t="n">
        <f aca="false">2577.4</f>
        <v>2577.4</v>
      </c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/>
      <c r="P77" s="161"/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8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1046.63</v>
      </c>
      <c r="M79" s="149" t="n">
        <v>1046.63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13</v>
      </c>
      <c r="I81" s="148" t="n">
        <v>5</v>
      </c>
      <c r="J81" s="148" t="n">
        <v>5</v>
      </c>
      <c r="K81" s="149" t="n">
        <v>25766.26</v>
      </c>
      <c r="L81" s="149" t="n">
        <f aca="false">M81+N81</f>
        <v>5039.32</v>
      </c>
      <c r="M81" s="149" t="n">
        <v>5039.32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24</v>
      </c>
      <c r="I82" s="154" t="n">
        <v>14</v>
      </c>
      <c r="J82" s="154" t="n">
        <v>14</v>
      </c>
      <c r="K82" s="155" t="n">
        <v>17117.62</v>
      </c>
      <c r="L82" s="155" t="n">
        <v>13890.72</v>
      </c>
      <c r="M82" s="155" t="n">
        <v>13890.72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5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4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8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0</v>
      </c>
      <c r="M87" s="149"/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9</v>
      </c>
      <c r="I89" s="148" t="n">
        <v>6</v>
      </c>
      <c r="J89" s="148" t="n">
        <v>7</v>
      </c>
      <c r="K89" s="149" t="n">
        <v>8723.07</v>
      </c>
      <c r="L89" s="149" t="n">
        <f aca="false">M89+N89</f>
        <v>5752.93</v>
      </c>
      <c r="M89" s="149" t="n">
        <v>5752.93</v>
      </c>
      <c r="N89" s="190"/>
      <c r="O89" s="151" t="n">
        <v>11</v>
      </c>
      <c r="P89" s="149" t="n">
        <v>45595.17</v>
      </c>
      <c r="Q89" s="149" t="n">
        <f aca="false">R89+S89</f>
        <v>43656.97</v>
      </c>
      <c r="R89" s="149" t="n">
        <v>43656.97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29</v>
      </c>
      <c r="J90" s="165" t="n">
        <v>29</v>
      </c>
      <c r="K90" s="166" t="n">
        <v>30222.6</v>
      </c>
      <c r="L90" s="166" t="n">
        <v>18501</v>
      </c>
      <c r="M90" s="166" t="n">
        <v>18501</v>
      </c>
      <c r="N90" s="156"/>
      <c r="O90" s="168" t="n">
        <v>37</v>
      </c>
      <c r="P90" s="166" t="n">
        <v>71364.22</v>
      </c>
      <c r="Q90" s="166" t="n">
        <v>30232.1</v>
      </c>
      <c r="R90" s="166" t="n">
        <v>30232.1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7</v>
      </c>
      <c r="I91" s="148" t="n">
        <v>4</v>
      </c>
      <c r="J91" s="148" t="n">
        <v>5</v>
      </c>
      <c r="K91" s="149" t="n">
        <v>7825.97</v>
      </c>
      <c r="L91" s="149" t="n">
        <f aca="false">M91+N91</f>
        <v>2035.11</v>
      </c>
      <c r="M91" s="149" t="n">
        <v>2035.11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8</v>
      </c>
      <c r="I92" s="165" t="n">
        <v>4</v>
      </c>
      <c r="J92" s="165" t="n">
        <v>4</v>
      </c>
      <c r="K92" s="166" t="n">
        <v>7576.6</v>
      </c>
      <c r="L92" s="166" t="n">
        <f aca="false">M92+N92</f>
        <v>7576.63</v>
      </c>
      <c r="M92" s="166" t="n">
        <f aca="false">2290.6+4052.63</f>
        <v>6343.23</v>
      </c>
      <c r="N92" s="156" t="n">
        <f aca="false">1233.4</f>
        <v>1233.4</v>
      </c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7</v>
      </c>
      <c r="I93" s="148" t="n">
        <v>5</v>
      </c>
      <c r="J93" s="148" t="n">
        <v>5</v>
      </c>
      <c r="K93" s="149" t="n">
        <v>11187.86</v>
      </c>
      <c r="L93" s="149" t="n">
        <f aca="false">M93+N93</f>
        <v>4786.75</v>
      </c>
      <c r="M93" s="149" t="n">
        <v>4786.75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8</v>
      </c>
      <c r="I94" s="154" t="n">
        <v>3</v>
      </c>
      <c r="J94" s="154" t="n">
        <v>3</v>
      </c>
      <c r="K94" s="235" t="n">
        <v>5995.52</v>
      </c>
      <c r="L94" s="155" t="n">
        <f aca="false">M94+N94</f>
        <v>6096.52</v>
      </c>
      <c r="M94" s="155" t="n">
        <f aca="false">2819.2+3277.32</f>
        <v>6096.52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7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8</v>
      </c>
      <c r="I97" s="160" t="n">
        <v>6</v>
      </c>
      <c r="J97" s="160" t="n">
        <v>6</v>
      </c>
      <c r="K97" s="161" t="n">
        <v>11231.55</v>
      </c>
      <c r="L97" s="161" t="n">
        <f aca="false">M97+N97</f>
        <v>11231.55</v>
      </c>
      <c r="M97" s="161" t="n">
        <v>5486.08</v>
      </c>
      <c r="N97" s="190" t="n">
        <v>5745.47</v>
      </c>
      <c r="O97" s="163" t="n">
        <v>8</v>
      </c>
      <c r="P97" s="161" t="n">
        <v>51100.74</v>
      </c>
      <c r="Q97" s="161" t="n">
        <f aca="false">R97+S97</f>
        <v>51100.74</v>
      </c>
      <c r="R97" s="161" t="n">
        <v>44299.53</v>
      </c>
      <c r="S97" s="190" t="n">
        <v>6801.21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5</v>
      </c>
      <c r="I98" s="165" t="n">
        <v>3</v>
      </c>
      <c r="J98" s="165" t="n">
        <v>3</v>
      </c>
      <c r="K98" s="166" t="n">
        <v>2858.7</v>
      </c>
      <c r="L98" s="161" t="n">
        <f aca="false">M98+N98</f>
        <v>4052.6</v>
      </c>
      <c r="M98" s="166" t="n">
        <v>4052.6</v>
      </c>
      <c r="N98" s="156"/>
      <c r="O98" s="168" t="n">
        <v>4</v>
      </c>
      <c r="P98" s="166" t="n">
        <v>11989.48</v>
      </c>
      <c r="Q98" s="166" t="n">
        <f aca="false">R98+S98</f>
        <v>13222.88</v>
      </c>
      <c r="R98" s="166" t="n">
        <f aca="false">3347.8+8641.68</f>
        <v>11989.48</v>
      </c>
      <c r="S98" s="156" t="n">
        <v>1233.4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5</v>
      </c>
      <c r="I99" s="148" t="n">
        <v>2</v>
      </c>
      <c r="J99" s="148" t="n">
        <v>3</v>
      </c>
      <c r="K99" s="149" t="n">
        <v>4990.89</v>
      </c>
      <c r="L99" s="149" t="n">
        <f aca="false">M99+N99</f>
        <v>7062.57</v>
      </c>
      <c r="M99" s="149" t="n">
        <v>2277.26</v>
      </c>
      <c r="N99" s="190" t="n">
        <v>4785.31</v>
      </c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8454.6</v>
      </c>
      <c r="L100" s="155" t="n">
        <f aca="false">M100+N100</f>
        <v>12686.4</v>
      </c>
      <c r="M100" s="155" t="n">
        <f aca="false">5109.8+7576.6</f>
        <v>12686.4</v>
      </c>
      <c r="N100" s="156"/>
      <c r="O100" s="157" t="n">
        <v>2</v>
      </c>
      <c r="P100" s="155"/>
      <c r="Q100" s="155" t="n">
        <f aca="false">R100+S100</f>
        <v>0</v>
      </c>
      <c r="R100" s="155"/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31</v>
      </c>
      <c r="I101" s="160" t="n">
        <v>23</v>
      </c>
      <c r="J101" s="160" t="n">
        <v>23</v>
      </c>
      <c r="K101" s="161" t="n">
        <v>45331.06</v>
      </c>
      <c r="L101" s="161" t="n">
        <f aca="false">M101+N101</f>
        <v>22267.64</v>
      </c>
      <c r="M101" s="161" t="n">
        <v>22267.64</v>
      </c>
      <c r="N101" s="190"/>
      <c r="O101" s="163" t="n">
        <v>25</v>
      </c>
      <c r="P101" s="161" t="n">
        <v>141222.34</v>
      </c>
      <c r="Q101" s="161" t="n">
        <f aca="false">R101+S101</f>
        <v>57478.81</v>
      </c>
      <c r="R101" s="161" t="n">
        <v>57478.81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7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20</v>
      </c>
      <c r="I103" s="148" t="n">
        <v>15</v>
      </c>
      <c r="J103" s="148" t="n">
        <v>15</v>
      </c>
      <c r="K103" s="149" t="n">
        <v>12723.15</v>
      </c>
      <c r="L103" s="149" t="n">
        <f aca="false">M103+N103</f>
        <v>11302.98</v>
      </c>
      <c r="M103" s="149" t="n">
        <v>11302.98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8457.6</v>
      </c>
      <c r="Q104" s="166" t="n">
        <f aca="false">R104+S104</f>
        <v>9735.05</v>
      </c>
      <c r="R104" s="165" t="n">
        <f aca="false">6431.3+1057.2</f>
        <v>7488.5</v>
      </c>
      <c r="S104" s="156" t="n">
        <f aca="false">2246.55</f>
        <v>2246.55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9</v>
      </c>
      <c r="J105" s="148" t="n">
        <v>11</v>
      </c>
      <c r="K105" s="149" t="n">
        <v>9803.83</v>
      </c>
      <c r="L105" s="149" t="n">
        <f aca="false">M105+N105</f>
        <v>7482.33</v>
      </c>
      <c r="M105" s="149" t="n">
        <v>4148.63</v>
      </c>
      <c r="N105" s="190" t="n">
        <v>3333.7</v>
      </c>
      <c r="O105" s="151" t="n">
        <v>8</v>
      </c>
      <c r="P105" s="149" t="n">
        <v>47967.55</v>
      </c>
      <c r="Q105" s="149" t="n">
        <f aca="false">R105+S105</f>
        <v>12279.73</v>
      </c>
      <c r="R105" s="149" t="n">
        <v>8651.42</v>
      </c>
      <c r="S105" s="190" t="n">
        <v>3628.31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7400.4</v>
      </c>
      <c r="M106" s="182" t="n">
        <f aca="false">3876.4</f>
        <v>3876.4</v>
      </c>
      <c r="N106" s="167" t="n">
        <f aca="false">3524</f>
        <v>3524</v>
      </c>
      <c r="O106" s="184" t="n">
        <v>9</v>
      </c>
      <c r="P106" s="182" t="n">
        <v>20318.3</v>
      </c>
      <c r="Q106" s="182" t="n">
        <f aca="false">R106+S106</f>
        <v>23258.4</v>
      </c>
      <c r="R106" s="182" t="n">
        <f aca="false">8986.2+7400.4</f>
        <v>16386.6</v>
      </c>
      <c r="S106" s="167" t="n">
        <f aca="false">6871.8</f>
        <v>6871.8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2</v>
      </c>
      <c r="I107" s="154" t="n">
        <v>2</v>
      </c>
      <c r="J107" s="154" t="n">
        <v>2</v>
      </c>
      <c r="K107" s="155" t="n">
        <v>9338.6</v>
      </c>
      <c r="L107" s="155" t="n">
        <v>9338.6</v>
      </c>
      <c r="M107" s="155" t="n">
        <v>9338.6</v>
      </c>
      <c r="N107" s="156"/>
      <c r="O107" s="157" t="n">
        <v>4</v>
      </c>
      <c r="P107" s="155" t="n">
        <v>8281.4</v>
      </c>
      <c r="Q107" s="155" t="n">
        <v>3347.8</v>
      </c>
      <c r="R107" s="155" t="n">
        <v>3347.8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8</v>
      </c>
      <c r="I108" s="160" t="n">
        <v>5</v>
      </c>
      <c r="J108" s="160" t="n">
        <v>6</v>
      </c>
      <c r="K108" s="161" t="n">
        <v>11123.42</v>
      </c>
      <c r="L108" s="161" t="n">
        <f aca="false">M108+N108</f>
        <v>6509.89</v>
      </c>
      <c r="M108" s="161" t="n">
        <v>6509.89</v>
      </c>
      <c r="N108" s="190"/>
      <c r="O108" s="163" t="n">
        <v>10</v>
      </c>
      <c r="P108" s="161" t="n">
        <v>36158.58</v>
      </c>
      <c r="Q108" s="161" t="n">
        <f aca="false">R108+S108</f>
        <v>32771.12</v>
      </c>
      <c r="R108" s="161" t="n">
        <v>32771.12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8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/>
      <c r="Q111" s="166" t="n">
        <f aca="false">R111+S111</f>
        <v>5638.4</v>
      </c>
      <c r="R111" s="166"/>
      <c r="S111" s="156" t="n">
        <f aca="false">5638.4</f>
        <v>5638.4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29</v>
      </c>
      <c r="I112" s="148" t="n">
        <v>22</v>
      </c>
      <c r="J112" s="148" t="n">
        <v>28</v>
      </c>
      <c r="K112" s="149" t="n">
        <v>36614.08</v>
      </c>
      <c r="L112" s="149" t="n">
        <f aca="false">M112+N112</f>
        <v>29760.04</v>
      </c>
      <c r="M112" s="149" t="n">
        <v>29760.04</v>
      </c>
      <c r="N112" s="190"/>
      <c r="O112" s="151" t="n">
        <v>4</v>
      </c>
      <c r="P112" s="149" t="n">
        <v>25421.86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5</v>
      </c>
      <c r="I113" s="165" t="n">
        <v>3</v>
      </c>
      <c r="J113" s="165" t="n">
        <v>3</v>
      </c>
      <c r="K113" s="166" t="n">
        <v>10569.6</v>
      </c>
      <c r="L113" s="166" t="n">
        <f aca="false">M113+N113</f>
        <v>6957.5</v>
      </c>
      <c r="M113" s="166" t="n">
        <f aca="false">2907.3</f>
        <v>2907.3</v>
      </c>
      <c r="N113" s="156" t="n">
        <v>4050.2</v>
      </c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5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29</v>
      </c>
      <c r="I118" s="160" t="n">
        <v>19</v>
      </c>
      <c r="J118" s="160" t="n">
        <v>28</v>
      </c>
      <c r="K118" s="161" t="n">
        <v>51943.96</v>
      </c>
      <c r="L118" s="161" t="n">
        <f aca="false">M118+N118</f>
        <v>33320.63</v>
      </c>
      <c r="M118" s="161" t="n">
        <v>33320.63</v>
      </c>
      <c r="N118" s="190"/>
      <c r="O118" s="163" t="n">
        <v>26</v>
      </c>
      <c r="P118" s="161" t="n">
        <v>50558.54</v>
      </c>
      <c r="Q118" s="161" t="n">
        <f aca="false">R118+S118</f>
        <v>48972.74</v>
      </c>
      <c r="R118" s="161" t="n">
        <v>48972.74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6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528.6</v>
      </c>
      <c r="M120" s="149" t="n">
        <v>528.6</v>
      </c>
      <c r="N120" s="190"/>
      <c r="O120" s="151" t="n">
        <v>5</v>
      </c>
      <c r="P120" s="149" t="n">
        <v>57770.79</v>
      </c>
      <c r="Q120" s="149" t="n">
        <f aca="false">R120+S120</f>
        <v>1162.92</v>
      </c>
      <c r="R120" s="149" t="n">
        <v>1162.92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29</v>
      </c>
      <c r="I122" s="148" t="n">
        <v>17</v>
      </c>
      <c r="J122" s="148" t="n">
        <v>21</v>
      </c>
      <c r="K122" s="149" t="n">
        <v>22175.56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21</v>
      </c>
      <c r="I123" s="165" t="n">
        <v>12</v>
      </c>
      <c r="J123" s="165" t="n">
        <v>12</v>
      </c>
      <c r="K123" s="166" t="n">
        <v>11432.05</v>
      </c>
      <c r="L123" s="166" t="n">
        <v>6695.6</v>
      </c>
      <c r="M123" s="166" t="n">
        <v>6695.6</v>
      </c>
      <c r="N123" s="156"/>
      <c r="O123" s="168" t="n">
        <v>15</v>
      </c>
      <c r="P123" s="166" t="n">
        <v>31202</v>
      </c>
      <c r="Q123" s="166" t="n">
        <v>23522.7</v>
      </c>
      <c r="R123" s="166" t="n">
        <v>23522.7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25</v>
      </c>
      <c r="I124" s="148" t="n">
        <v>15</v>
      </c>
      <c r="J124" s="148" t="n">
        <v>19</v>
      </c>
      <c r="K124" s="149" t="n">
        <v>51882.6</v>
      </c>
      <c r="L124" s="149" t="n">
        <f aca="false">M124+N124</f>
        <v>41123.37</v>
      </c>
      <c r="M124" s="149" t="n">
        <v>41123.37</v>
      </c>
      <c r="N124" s="190"/>
      <c r="O124" s="151" t="n">
        <v>19</v>
      </c>
      <c r="P124" s="149" t="n">
        <v>67667.88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29</v>
      </c>
      <c r="I126" s="160" t="n">
        <v>10</v>
      </c>
      <c r="J126" s="160" t="n">
        <v>11</v>
      </c>
      <c r="K126" s="161" t="n">
        <v>33631.02</v>
      </c>
      <c r="L126" s="161" t="n">
        <f aca="false">M126+N126</f>
        <v>23522.7</v>
      </c>
      <c r="M126" s="161" t="n">
        <v>11259.18</v>
      </c>
      <c r="N126" s="190" t="n">
        <v>12263.52</v>
      </c>
      <c r="O126" s="163" t="n">
        <v>16</v>
      </c>
      <c r="P126" s="161" t="n">
        <v>123375.91</v>
      </c>
      <c r="Q126" s="161" t="n">
        <f aca="false">R126+S126</f>
        <v>78950.02</v>
      </c>
      <c r="R126" s="161" t="n">
        <v>59549.41</v>
      </c>
      <c r="S126" s="190" t="n">
        <v>19400.61</v>
      </c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4193.56</v>
      </c>
      <c r="L128" s="166" t="n">
        <f aca="false">M128+N128</f>
        <v>8059.66</v>
      </c>
      <c r="M128" s="166" t="n">
        <f aca="false">2266.65+23.95+1902.96</f>
        <v>4193.56</v>
      </c>
      <c r="N128" s="156" t="n">
        <v>3866.1</v>
      </c>
      <c r="O128" s="168" t="n">
        <v>10</v>
      </c>
      <c r="P128" s="166" t="n">
        <v>39891.68</v>
      </c>
      <c r="Q128" s="166" t="n">
        <f aca="false">R128+S128</f>
        <v>47439.78</v>
      </c>
      <c r="R128" s="166" t="n">
        <f aca="false">29167.43-47.9+23.95+10748.2</f>
        <v>39891.68</v>
      </c>
      <c r="S128" s="156" t="n">
        <f aca="false">7548.1</f>
        <v>7548.1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6</v>
      </c>
      <c r="J131" s="160" t="n">
        <v>6</v>
      </c>
      <c r="K131" s="161" t="n">
        <v>5938.38</v>
      </c>
      <c r="L131" s="161" t="n">
        <f aca="false">M131+N131</f>
        <v>4891.75</v>
      </c>
      <c r="M131" s="161" t="n">
        <v>4891.75</v>
      </c>
      <c r="N131" s="190"/>
      <c r="O131" s="163" t="n">
        <v>8</v>
      </c>
      <c r="P131" s="161" t="n">
        <v>22293.04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10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9242.43</v>
      </c>
      <c r="Q132" s="155" t="n">
        <f aca="false">R132+S132</f>
        <v>14284.03</v>
      </c>
      <c r="R132" s="155" t="n">
        <f aca="false">1585.8+1585.8+6070.83</f>
        <v>9242.43</v>
      </c>
      <c r="S132" s="156" t="n">
        <f aca="false">5041.6</f>
        <v>5041.6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2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6540.54</v>
      </c>
      <c r="N135" s="190" t="n">
        <v>10186.06</v>
      </c>
      <c r="O135" s="151" t="n">
        <v>9</v>
      </c>
      <c r="P135" s="149" t="n">
        <v>43045.94</v>
      </c>
      <c r="Q135" s="149" t="n">
        <f aca="false">R135+S135</f>
        <v>39667.8</v>
      </c>
      <c r="R135" s="149" t="n">
        <v>29317.65</v>
      </c>
      <c r="S135" s="190" t="n">
        <v>10350.15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19</v>
      </c>
      <c r="I136" s="165" t="n">
        <v>15</v>
      </c>
      <c r="J136" s="165" t="n">
        <v>15</v>
      </c>
      <c r="K136" s="166" t="n">
        <v>13522.75</v>
      </c>
      <c r="L136" s="166" t="n">
        <v>7929</v>
      </c>
      <c r="M136" s="166" t="n">
        <v>7929</v>
      </c>
      <c r="N136" s="156"/>
      <c r="O136" s="168" t="n">
        <v>11</v>
      </c>
      <c r="P136" s="166" t="n">
        <v>28192</v>
      </c>
      <c r="Q136" s="166" t="n">
        <v>19205.8</v>
      </c>
      <c r="R136" s="166" t="n">
        <v>19205.8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29</v>
      </c>
      <c r="I137" s="148" t="n">
        <v>20</v>
      </c>
      <c r="J137" s="148" t="n">
        <v>27</v>
      </c>
      <c r="K137" s="149" t="n">
        <v>74625.25</v>
      </c>
      <c r="L137" s="149" t="n">
        <f aca="false">M137+N137</f>
        <v>55268.48</v>
      </c>
      <c r="M137" s="149" t="n">
        <v>55268.48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11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1233.4+3347.8</f>
        <v>4581.2</v>
      </c>
      <c r="N138" s="167" t="n">
        <f aca="false">2209.2</f>
        <v>2209.2</v>
      </c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10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2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25</v>
      </c>
      <c r="I142" s="160" t="n">
        <v>20</v>
      </c>
      <c r="J142" s="160" t="n">
        <v>20</v>
      </c>
      <c r="K142" s="161" t="n">
        <v>7606.2</v>
      </c>
      <c r="L142" s="161" t="n">
        <f aca="false">M142+N142</f>
        <v>4757.4</v>
      </c>
      <c r="M142" s="161" t="n">
        <v>4757.4</v>
      </c>
      <c r="N142" s="190"/>
      <c r="O142" s="163" t="n">
        <v>24</v>
      </c>
      <c r="P142" s="161" t="n">
        <v>48668.87</v>
      </c>
      <c r="Q142" s="161" t="n">
        <f aca="false">R142+S142</f>
        <v>38323.95</v>
      </c>
      <c r="R142" s="161" t="n">
        <v>38323.95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12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2643</f>
        <v>2643</v>
      </c>
      <c r="N143" s="167" t="n">
        <f aca="false">1585.8</f>
        <v>1585.8</v>
      </c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6</v>
      </c>
      <c r="I145" s="148" t="n">
        <v>4</v>
      </c>
      <c r="J145" s="148" t="n">
        <v>5</v>
      </c>
      <c r="K145" s="149" t="n">
        <v>4673.26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6</v>
      </c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18</v>
      </c>
      <c r="I147" s="160" t="n">
        <v>16</v>
      </c>
      <c r="J147" s="160" t="n">
        <v>16</v>
      </c>
      <c r="K147" s="161" t="n">
        <v>17960.86</v>
      </c>
      <c r="L147" s="161" t="n">
        <f aca="false">M147+N147</f>
        <v>17408.56</v>
      </c>
      <c r="M147" s="161" t="n">
        <v>17408.56</v>
      </c>
      <c r="N147" s="190"/>
      <c r="O147" s="163" t="n">
        <v>8</v>
      </c>
      <c r="P147" s="161" t="n">
        <v>30446.34</v>
      </c>
      <c r="Q147" s="161" t="n">
        <f aca="false">R147+S147</f>
        <v>27296.38</v>
      </c>
      <c r="R147" s="161" t="n">
        <v>27296.38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3700.2</v>
      </c>
      <c r="M148" s="166" t="n">
        <f aca="false">3700.2</f>
        <v>3700.2</v>
      </c>
      <c r="N148" s="156"/>
      <c r="O148" s="168" t="n">
        <v>6</v>
      </c>
      <c r="P148" s="166" t="n">
        <v>8105.2</v>
      </c>
      <c r="Q148" s="166" t="n">
        <f aca="false">R148+S148</f>
        <v>8986.2</v>
      </c>
      <c r="R148" s="166" t="n">
        <f aca="false">6519.4+1585.8</f>
        <v>8105.2</v>
      </c>
      <c r="S148" s="156" t="n">
        <f aca="false">881</f>
        <v>881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4</v>
      </c>
      <c r="I149" s="148" t="n">
        <v>2</v>
      </c>
      <c r="J149" s="148" t="n">
        <v>3</v>
      </c>
      <c r="K149" s="149" t="n">
        <v>8028.11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1</v>
      </c>
      <c r="J150" s="165" t="n">
        <v>1</v>
      </c>
      <c r="K150" s="166" t="n">
        <v>704.8</v>
      </c>
      <c r="L150" s="166" t="n">
        <f aca="false">M150+N150</f>
        <v>2466.8</v>
      </c>
      <c r="M150" s="166" t="n">
        <f aca="false">2466.8</f>
        <v>2466.8</v>
      </c>
      <c r="N150" s="167"/>
      <c r="O150" s="168" t="n">
        <v>7</v>
      </c>
      <c r="P150" s="166" t="n">
        <v>10925</v>
      </c>
      <c r="Q150" s="166" t="n">
        <f aca="false">R150+S150</f>
        <v>11860.54</v>
      </c>
      <c r="R150" s="166" t="n">
        <f aca="false">2290.6+528.6+7047.84</f>
        <v>9867.04</v>
      </c>
      <c r="S150" s="167" t="n">
        <f aca="false">1993.5</f>
        <v>1993.5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/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/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2</v>
      </c>
      <c r="P153" s="161" t="n">
        <v>20088.08</v>
      </c>
      <c r="Q153" s="161" t="n">
        <f aca="false">R153+S153</f>
        <v>20088.08</v>
      </c>
      <c r="R153" s="161" t="n">
        <v>20088.08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26" t="s">
        <v>281</v>
      </c>
      <c r="G154" s="152" t="s">
        <v>26</v>
      </c>
      <c r="H154" s="153" t="n">
        <v>3</v>
      </c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105</v>
      </c>
      <c r="C155" s="35" t="s">
        <v>33</v>
      </c>
      <c r="D155" s="35" t="s">
        <v>106</v>
      </c>
      <c r="E155" s="35" t="s">
        <v>107</v>
      </c>
      <c r="F155" s="36"/>
      <c r="G155" s="146" t="s">
        <v>22</v>
      </c>
      <c r="H155" s="169" t="n">
        <v>8</v>
      </c>
      <c r="I155" s="160" t="n">
        <v>3</v>
      </c>
      <c r="J155" s="160" t="n">
        <v>3</v>
      </c>
      <c r="K155" s="161" t="n">
        <v>2479.18</v>
      </c>
      <c r="L155" s="161" t="n">
        <f aca="false">M155+N155</f>
        <v>352.4</v>
      </c>
      <c r="M155" s="161" t="n">
        <v>352.4</v>
      </c>
      <c r="N155" s="190"/>
      <c r="O155" s="163" t="n">
        <v>11</v>
      </c>
      <c r="P155" s="161" t="n">
        <v>54093.04</v>
      </c>
      <c r="Q155" s="161" t="n">
        <f aca="false">R155+S155</f>
        <v>45624.44</v>
      </c>
      <c r="R155" s="161" t="n">
        <v>45624.44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194</v>
      </c>
      <c r="G156" s="164" t="s">
        <v>26</v>
      </c>
      <c r="H156" s="153" t="n">
        <v>2</v>
      </c>
      <c r="I156" s="165"/>
      <c r="J156" s="165"/>
      <c r="K156" s="166"/>
      <c r="L156" s="161" t="n">
        <f aca="false">M156+N156</f>
        <v>0</v>
      </c>
      <c r="M156" s="166" t="n">
        <v>0</v>
      </c>
      <c r="N156" s="156"/>
      <c r="O156" s="168" t="n">
        <v>7</v>
      </c>
      <c r="P156" s="166" t="n">
        <v>23645.16</v>
      </c>
      <c r="Q156" s="166" t="n">
        <f aca="false">R156+S156</f>
        <v>18745.5</v>
      </c>
      <c r="R156" s="166" t="n">
        <f aca="false">4801.4+881+10853.9</f>
        <v>16536.3</v>
      </c>
      <c r="S156" s="156" t="n">
        <f aca="false">2209.2</f>
        <v>2209.2</v>
      </c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72"/>
      <c r="B157" s="73" t="s">
        <v>108</v>
      </c>
      <c r="C157" s="74" t="s">
        <v>33</v>
      </c>
      <c r="D157" s="74" t="s">
        <v>109</v>
      </c>
      <c r="E157" s="74" t="s">
        <v>25</v>
      </c>
      <c r="F157" s="20"/>
      <c r="G157" s="146" t="s">
        <v>22</v>
      </c>
      <c r="H157" s="159" t="n">
        <v>11</v>
      </c>
      <c r="I157" s="148" t="n">
        <v>10</v>
      </c>
      <c r="J157" s="148" t="n">
        <v>11</v>
      </c>
      <c r="K157" s="149" t="n">
        <v>21918.02</v>
      </c>
      <c r="L157" s="149" t="n">
        <f aca="false">M157+N157</f>
        <v>11519.11</v>
      </c>
      <c r="M157" s="149" t="n">
        <v>11519.11</v>
      </c>
      <c r="N157" s="190"/>
      <c r="O157" s="151" t="n">
        <v>22</v>
      </c>
      <c r="P157" s="149" t="n">
        <v>54823.91</v>
      </c>
      <c r="Q157" s="149" t="n">
        <f aca="false">R157+S157</f>
        <v>37928.86</v>
      </c>
      <c r="R157" s="149" t="n">
        <v>37928.86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72"/>
      <c r="B158" s="73"/>
      <c r="C158" s="73"/>
      <c r="D158" s="73"/>
      <c r="E158" s="73"/>
      <c r="F158" s="42" t="s">
        <v>195</v>
      </c>
      <c r="G158" s="164" t="s">
        <v>26</v>
      </c>
      <c r="H158" s="171" t="n">
        <v>9</v>
      </c>
      <c r="I158" s="165" t="n">
        <v>7</v>
      </c>
      <c r="J158" s="165" t="n">
        <v>7</v>
      </c>
      <c r="K158" s="166" t="n">
        <v>25240.98</v>
      </c>
      <c r="L158" s="166" t="n">
        <f aca="false">M158+N158</f>
        <v>14448.4</v>
      </c>
      <c r="M158" s="166" t="n">
        <f aca="false">6942.28+7506.12</f>
        <v>14448.4</v>
      </c>
      <c r="N158" s="156"/>
      <c r="O158" s="157" t="n">
        <v>13</v>
      </c>
      <c r="P158" s="155" t="n">
        <v>32508.9</v>
      </c>
      <c r="Q158" s="155" t="n">
        <f aca="false">R158+S158</f>
        <v>62603.86</v>
      </c>
      <c r="R158" s="155" t="n">
        <f aca="false">15329.4+14888.9+7893.76</f>
        <v>38112.06</v>
      </c>
      <c r="S158" s="156" t="n">
        <f aca="false">24491.8</f>
        <v>24491.8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110</v>
      </c>
      <c r="C159" s="19" t="s">
        <v>33</v>
      </c>
      <c r="D159" s="19" t="s">
        <v>111</v>
      </c>
      <c r="E159" s="19" t="s">
        <v>25</v>
      </c>
      <c r="F159" s="20"/>
      <c r="G159" s="146" t="s">
        <v>22</v>
      </c>
      <c r="H159" s="159" t="n">
        <v>30</v>
      </c>
      <c r="I159" s="148" t="n">
        <v>21</v>
      </c>
      <c r="J159" s="193" t="n">
        <v>24</v>
      </c>
      <c r="K159" s="149" t="n">
        <v>25113.93</v>
      </c>
      <c r="L159" s="149" t="n">
        <f aca="false">M159+N159</f>
        <v>19498.3</v>
      </c>
      <c r="M159" s="149" t="n">
        <v>19498.3</v>
      </c>
      <c r="N159" s="190"/>
      <c r="O159" s="163" t="n">
        <v>19</v>
      </c>
      <c r="P159" s="161" t="n">
        <v>104266.8</v>
      </c>
      <c r="Q159" s="161" t="n">
        <f aca="false">R159+S159</f>
        <v>50536.47</v>
      </c>
      <c r="R159" s="161" t="n">
        <v>50536.47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42" t="s">
        <v>196</v>
      </c>
      <c r="G160" s="164" t="s">
        <v>26</v>
      </c>
      <c r="H160" s="175" t="n">
        <v>5</v>
      </c>
      <c r="I160" s="165" t="n">
        <v>4</v>
      </c>
      <c r="J160" s="165" t="n">
        <v>3</v>
      </c>
      <c r="K160" s="166" t="n">
        <v>10296.2</v>
      </c>
      <c r="L160" s="166" t="n">
        <f aca="false">M160+N160</f>
        <v>0</v>
      </c>
      <c r="M160" s="166"/>
      <c r="N160" s="167"/>
      <c r="O160" s="168" t="n">
        <v>1</v>
      </c>
      <c r="P160" s="166"/>
      <c r="Q160" s="166" t="n">
        <f aca="false">R160+S160</f>
        <v>0</v>
      </c>
      <c r="R160" s="166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40" t="s">
        <v>282</v>
      </c>
      <c r="C161" s="19" t="s">
        <v>33</v>
      </c>
      <c r="D161" s="19" t="s">
        <v>283</v>
      </c>
      <c r="E161" s="19" t="s">
        <v>284</v>
      </c>
      <c r="F161" s="20"/>
      <c r="G161" s="146" t="s">
        <v>22</v>
      </c>
      <c r="H161" s="173"/>
      <c r="I161" s="148"/>
      <c r="J161" s="148"/>
      <c r="K161" s="241"/>
      <c r="L161" s="241" t="n">
        <f aca="false">M161+N161</f>
        <v>0</v>
      </c>
      <c r="M161" s="241"/>
      <c r="N161" s="150"/>
      <c r="O161" s="206"/>
      <c r="P161" s="149"/>
      <c r="Q161" s="149" t="n">
        <f aca="false">R161+S161</f>
        <v>0</v>
      </c>
      <c r="R161" s="149"/>
      <c r="S161" s="15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40"/>
      <c r="C162" s="19"/>
      <c r="D162" s="19"/>
      <c r="E162" s="19"/>
      <c r="F162" s="26" t="s">
        <v>285</v>
      </c>
      <c r="G162" s="152" t="s">
        <v>23</v>
      </c>
      <c r="H162" s="174" t="n">
        <v>6</v>
      </c>
      <c r="I162" s="154" t="n">
        <v>2</v>
      </c>
      <c r="J162" s="154" t="n">
        <v>2</v>
      </c>
      <c r="K162" s="242" t="n">
        <v>1472.8</v>
      </c>
      <c r="L162" s="242" t="n">
        <f aca="false">M162+N162</f>
        <v>0</v>
      </c>
      <c r="M162" s="242"/>
      <c r="N162" s="156"/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 t="s">
        <v>112</v>
      </c>
      <c r="C163" s="35" t="s">
        <v>20</v>
      </c>
      <c r="D163" s="35" t="s">
        <v>197</v>
      </c>
      <c r="E163" s="35" t="s">
        <v>25</v>
      </c>
      <c r="F163" s="36"/>
      <c r="G163" s="158" t="s">
        <v>22</v>
      </c>
      <c r="H163" s="159" t="n">
        <v>21</v>
      </c>
      <c r="I163" s="160" t="n">
        <v>21</v>
      </c>
      <c r="J163" s="160" t="n">
        <v>28</v>
      </c>
      <c r="K163" s="140" t="n">
        <v>71945.49</v>
      </c>
      <c r="L163" s="140" t="n">
        <f aca="false">M163+N163</f>
        <v>56817.22</v>
      </c>
      <c r="M163" s="140" t="n">
        <v>37636.31</v>
      </c>
      <c r="N163" s="190" t="n">
        <v>19180.91</v>
      </c>
      <c r="O163" s="163" t="n">
        <v>6</v>
      </c>
      <c r="P163" s="161" t="n">
        <v>25423.03</v>
      </c>
      <c r="Q163" s="161" t="n">
        <f aca="false">R163+S163</f>
        <v>25423.03</v>
      </c>
      <c r="R163" s="161" t="n">
        <v>20244.62</v>
      </c>
      <c r="S163" s="190" t="n">
        <v>5178.41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26" t="s">
        <v>198</v>
      </c>
      <c r="G164" s="152" t="s">
        <v>26</v>
      </c>
      <c r="H164" s="171" t="n">
        <v>4</v>
      </c>
      <c r="I164" s="165" t="n">
        <v>1</v>
      </c>
      <c r="J164" s="165" t="n">
        <v>1</v>
      </c>
      <c r="K164" s="166" t="n">
        <v>1762</v>
      </c>
      <c r="L164" s="166" t="n">
        <f aca="false">M164+N164</f>
        <v>1321.5</v>
      </c>
      <c r="M164" s="166" t="n">
        <f aca="false">1321.5</f>
        <v>1321.5</v>
      </c>
      <c r="N164" s="156"/>
      <c r="O164" s="168" t="n">
        <v>2</v>
      </c>
      <c r="P164" s="166" t="n">
        <v>2114.4</v>
      </c>
      <c r="Q164" s="166" t="n">
        <f aca="false">R164+S164</f>
        <v>27663.4</v>
      </c>
      <c r="R164" s="166" t="n">
        <f aca="false">2114.4</f>
        <v>2114.4</v>
      </c>
      <c r="S164" s="156" t="n">
        <f aca="false">25549</f>
        <v>25549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113</v>
      </c>
      <c r="C165" s="19" t="s">
        <v>20</v>
      </c>
      <c r="D165" s="19"/>
      <c r="E165" s="19" t="s">
        <v>31</v>
      </c>
      <c r="F165" s="36"/>
      <c r="G165" s="146" t="s">
        <v>22</v>
      </c>
      <c r="H165" s="159" t="n">
        <v>15</v>
      </c>
      <c r="I165" s="148" t="n">
        <v>12</v>
      </c>
      <c r="J165" s="148" t="n">
        <v>15</v>
      </c>
      <c r="K165" s="149" t="n">
        <v>31283.15</v>
      </c>
      <c r="L165" s="149" t="n">
        <f aca="false">M165+N165</f>
        <v>25824.49</v>
      </c>
      <c r="M165" s="149" t="n">
        <v>25824.49</v>
      </c>
      <c r="N165" s="190"/>
      <c r="O165" s="151" t="n">
        <v>8</v>
      </c>
      <c r="P165" s="149" t="n">
        <v>18834.43</v>
      </c>
      <c r="Q165" s="149" t="n">
        <f aca="false">R165+S165</f>
        <v>18834.43</v>
      </c>
      <c r="R165" s="149" t="n">
        <v>18834.43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57"/>
      <c r="G166" s="152" t="s">
        <v>26</v>
      </c>
      <c r="H166" s="153"/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114</v>
      </c>
      <c r="C167" s="35" t="s">
        <v>20</v>
      </c>
      <c r="D167" s="95"/>
      <c r="E167" s="35" t="s">
        <v>25</v>
      </c>
      <c r="F167" s="71"/>
      <c r="G167" s="146" t="s">
        <v>22</v>
      </c>
      <c r="H167" s="169" t="n">
        <v>2</v>
      </c>
      <c r="I167" s="160"/>
      <c r="J167" s="160"/>
      <c r="K167" s="161"/>
      <c r="L167" s="161" t="n">
        <f aca="false">M167+N167</f>
        <v>0</v>
      </c>
      <c r="M167" s="161"/>
      <c r="N167" s="190"/>
      <c r="O167" s="163" t="n">
        <v>3</v>
      </c>
      <c r="P167" s="161" t="n">
        <v>4574.09</v>
      </c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33"/>
      <c r="B168" s="34"/>
      <c r="C168" s="34"/>
      <c r="D168" s="34"/>
      <c r="E168" s="34"/>
      <c r="F168" s="42" t="s">
        <v>274</v>
      </c>
      <c r="G168" s="164" t="s">
        <v>26</v>
      </c>
      <c r="H168" s="175" t="n">
        <v>5</v>
      </c>
      <c r="I168" s="165" t="n">
        <v>5</v>
      </c>
      <c r="J168" s="165" t="n">
        <v>5</v>
      </c>
      <c r="K168" s="166" t="n">
        <v>5596.62</v>
      </c>
      <c r="L168" s="166" t="n">
        <f aca="false">M168+N168</f>
        <v>2692.53</v>
      </c>
      <c r="M168" s="166" t="n">
        <f aca="false">1127.68</f>
        <v>1127.68</v>
      </c>
      <c r="N168" s="156" t="n">
        <f aca="false">1012.55+552.3</f>
        <v>1564.85</v>
      </c>
      <c r="O168" s="168"/>
      <c r="P168" s="166"/>
      <c r="Q168" s="166" t="n">
        <f aca="false">R168+S168</f>
        <v>0</v>
      </c>
      <c r="R168" s="166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 t="s">
        <v>243</v>
      </c>
      <c r="C169" s="219"/>
      <c r="D169" s="19"/>
      <c r="E169" s="19"/>
      <c r="F169" s="20"/>
      <c r="G169" s="146" t="s">
        <v>22</v>
      </c>
      <c r="H169" s="173" t="n">
        <v>5</v>
      </c>
      <c r="I169" s="148" t="n">
        <v>3</v>
      </c>
      <c r="J169" s="148" t="n">
        <v>3</v>
      </c>
      <c r="K169" s="149" t="n">
        <v>4326.59</v>
      </c>
      <c r="L169" s="149" t="n">
        <f aca="false">M169+N169</f>
        <v>4062.29</v>
      </c>
      <c r="M169" s="149" t="n">
        <v>4062.29</v>
      </c>
      <c r="N169" s="190"/>
      <c r="O169" s="206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/>
      <c r="C170" s="18"/>
      <c r="D170" s="18"/>
      <c r="E170" s="18"/>
      <c r="F170" s="26" t="s">
        <v>275</v>
      </c>
      <c r="G170" s="152" t="s">
        <v>26</v>
      </c>
      <c r="H170" s="174" t="n">
        <v>6</v>
      </c>
      <c r="I170" s="154" t="n">
        <v>2</v>
      </c>
      <c r="J170" s="154" t="n">
        <v>2</v>
      </c>
      <c r="K170" s="155" t="n">
        <v>2114.4</v>
      </c>
      <c r="L170" s="155" t="n">
        <f aca="false">M170+N170</f>
        <v>5061.94</v>
      </c>
      <c r="M170" s="155" t="n">
        <f aca="false">3476.14</f>
        <v>3476.14</v>
      </c>
      <c r="N170" s="156" t="n">
        <v>1585.8</v>
      </c>
      <c r="O170" s="209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200</v>
      </c>
      <c r="C171" s="220"/>
      <c r="D171" s="56"/>
      <c r="E171" s="56"/>
      <c r="F171" s="36"/>
      <c r="G171" s="158" t="s">
        <v>22</v>
      </c>
      <c r="H171" s="159" t="n">
        <v>25</v>
      </c>
      <c r="I171" s="160" t="n">
        <v>24</v>
      </c>
      <c r="J171" s="160" t="n">
        <v>27</v>
      </c>
      <c r="K171" s="161" t="n">
        <v>43645.52</v>
      </c>
      <c r="L171" s="161" t="n">
        <f aca="false">M171+N171</f>
        <v>22458.11</v>
      </c>
      <c r="M171" s="161" t="n">
        <v>22458.11</v>
      </c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57"/>
      <c r="G172" s="152" t="s">
        <v>26</v>
      </c>
      <c r="H172" s="174" t="n">
        <v>4</v>
      </c>
      <c r="I172" s="154" t="n">
        <v>4</v>
      </c>
      <c r="J172" s="154" t="n">
        <v>4</v>
      </c>
      <c r="K172" s="155" t="n">
        <v>6046.1</v>
      </c>
      <c r="L172" s="155" t="n">
        <f aca="false">M172+N172</f>
        <v>8512.9</v>
      </c>
      <c r="M172" s="155" t="n">
        <f aca="false">4757.4+2466.8</f>
        <v>7224.2</v>
      </c>
      <c r="N172" s="156" t="n">
        <f aca="false">1288.7</f>
        <v>1288.7</v>
      </c>
      <c r="O172" s="157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115</v>
      </c>
      <c r="C173" s="56" t="s">
        <v>20</v>
      </c>
      <c r="D173" s="56"/>
      <c r="E173" s="56" t="s">
        <v>116</v>
      </c>
      <c r="F173" s="36"/>
      <c r="G173" s="158" t="s">
        <v>22</v>
      </c>
      <c r="H173" s="159" t="n">
        <v>17</v>
      </c>
      <c r="I173" s="160" t="n">
        <v>15</v>
      </c>
      <c r="J173" s="160" t="n">
        <v>17</v>
      </c>
      <c r="K173" s="161" t="n">
        <v>15676.78</v>
      </c>
      <c r="L173" s="161" t="n">
        <f aca="false">M173+N173</f>
        <v>9503.97</v>
      </c>
      <c r="M173" s="161" t="n">
        <v>9503.97</v>
      </c>
      <c r="N173" s="190"/>
      <c r="O173" s="163" t="n">
        <v>19</v>
      </c>
      <c r="P173" s="161" t="n">
        <v>47256.43</v>
      </c>
      <c r="Q173" s="161" t="n">
        <f aca="false">R173+S173</f>
        <v>38497.86</v>
      </c>
      <c r="R173" s="161" t="n">
        <v>38497.86</v>
      </c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42" t="s">
        <v>201</v>
      </c>
      <c r="G174" s="164" t="s">
        <v>26</v>
      </c>
      <c r="H174" s="172" t="n">
        <v>9</v>
      </c>
      <c r="I174" s="165" t="n">
        <v>4</v>
      </c>
      <c r="J174" s="165" t="n">
        <v>4</v>
      </c>
      <c r="K174" s="166" t="n">
        <v>8915.72</v>
      </c>
      <c r="L174" s="161" t="n">
        <f aca="false">M174+N174</f>
        <v>4510.72</v>
      </c>
      <c r="M174" s="166" t="n">
        <v>1585.8</v>
      </c>
      <c r="N174" s="156" t="n">
        <f aca="false">2924.92</f>
        <v>2924.92</v>
      </c>
      <c r="O174" s="168" t="n">
        <v>8</v>
      </c>
      <c r="P174" s="166" t="n">
        <v>5286</v>
      </c>
      <c r="Q174" s="166" t="n">
        <f aca="false">R174+S174</f>
        <v>5286</v>
      </c>
      <c r="R174" s="166" t="n">
        <f aca="false">881+2114.4+2290.6</f>
        <v>5286</v>
      </c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17"/>
      <c r="B175" s="18" t="s">
        <v>157</v>
      </c>
      <c r="C175" s="19"/>
      <c r="D175" s="19"/>
      <c r="E175" s="127"/>
      <c r="F175" s="22"/>
      <c r="G175" s="146" t="s">
        <v>22</v>
      </c>
      <c r="H175" s="147" t="n">
        <v>12</v>
      </c>
      <c r="I175" s="148" t="n">
        <v>5</v>
      </c>
      <c r="J175" s="148" t="n">
        <v>6</v>
      </c>
      <c r="K175" s="149" t="n">
        <v>11119.33</v>
      </c>
      <c r="L175" s="149" t="n">
        <f aca="false">M175+N175</f>
        <v>9520.31</v>
      </c>
      <c r="M175" s="149" t="n">
        <v>9520.31</v>
      </c>
      <c r="N175" s="190"/>
      <c r="O175" s="151"/>
      <c r="P175" s="149"/>
      <c r="Q175" s="149" t="n">
        <f aca="false">R175+S175</f>
        <v>0</v>
      </c>
      <c r="R175" s="149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17"/>
      <c r="B176" s="18"/>
      <c r="C176" s="18"/>
      <c r="D176" s="18"/>
      <c r="E176" s="127"/>
      <c r="F176" s="26" t="s">
        <v>202</v>
      </c>
      <c r="G176" s="152" t="s">
        <v>26</v>
      </c>
      <c r="H176" s="176" t="n">
        <v>2</v>
      </c>
      <c r="I176" s="154"/>
      <c r="J176" s="154"/>
      <c r="K176" s="155"/>
      <c r="L176" s="155" t="n">
        <f aca="false">M176+N176</f>
        <v>0</v>
      </c>
      <c r="M176" s="155"/>
      <c r="N176" s="156"/>
      <c r="O176" s="157" t="n">
        <v>2</v>
      </c>
      <c r="P176" s="155"/>
      <c r="Q176" s="155" t="n">
        <f aca="false">R176+S176</f>
        <v>0</v>
      </c>
      <c r="R176" s="155"/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33"/>
      <c r="B177" s="34" t="s">
        <v>117</v>
      </c>
      <c r="C177" s="35" t="s">
        <v>33</v>
      </c>
      <c r="D177" s="35" t="s">
        <v>118</v>
      </c>
      <c r="E177" s="74" t="s">
        <v>25</v>
      </c>
      <c r="F177" s="89"/>
      <c r="G177" s="158" t="s">
        <v>22</v>
      </c>
      <c r="H177" s="169"/>
      <c r="I177" s="160"/>
      <c r="J177" s="160"/>
      <c r="K177" s="161"/>
      <c r="L177" s="161" t="n">
        <f aca="false">M177+N177</f>
        <v>0</v>
      </c>
      <c r="M177" s="161"/>
      <c r="N177" s="190"/>
      <c r="O177" s="163"/>
      <c r="P177" s="161"/>
      <c r="Q177" s="161" t="n">
        <f aca="false">R177+S177</f>
        <v>0</v>
      </c>
      <c r="R177" s="161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33"/>
      <c r="B178" s="34"/>
      <c r="C178" s="34"/>
      <c r="D178" s="34"/>
      <c r="E178" s="34"/>
      <c r="F178" s="42"/>
      <c r="G178" s="158" t="s">
        <v>23</v>
      </c>
      <c r="H178" s="169"/>
      <c r="I178" s="160"/>
      <c r="J178" s="160"/>
      <c r="K178" s="161"/>
      <c r="L178" s="161" t="n">
        <f aca="false">M178+N178</f>
        <v>0</v>
      </c>
      <c r="M178" s="161"/>
      <c r="N178" s="167"/>
      <c r="O178" s="163" t="n">
        <v>2</v>
      </c>
      <c r="P178" s="161" t="n">
        <v>1762</v>
      </c>
      <c r="Q178" s="161" t="n">
        <v>1762</v>
      </c>
      <c r="R178" s="161" t="n">
        <v>1762</v>
      </c>
      <c r="S178" s="167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33"/>
      <c r="B179" s="34"/>
      <c r="C179" s="34"/>
      <c r="D179" s="34"/>
      <c r="E179" s="34"/>
      <c r="F179" s="42"/>
      <c r="G179" s="164" t="s">
        <v>26</v>
      </c>
      <c r="H179" s="153"/>
      <c r="I179" s="165"/>
      <c r="J179" s="165"/>
      <c r="K179" s="166"/>
      <c r="L179" s="166" t="n">
        <f aca="false">M179+N179</f>
        <v>0</v>
      </c>
      <c r="M179" s="166"/>
      <c r="N179" s="156"/>
      <c r="O179" s="168" t="n">
        <v>7</v>
      </c>
      <c r="P179" s="166" t="n">
        <v>5902.7</v>
      </c>
      <c r="Q179" s="166" t="n">
        <f aca="false">R179+S179</f>
        <v>5902.7</v>
      </c>
      <c r="R179" s="166" t="n">
        <f aca="false">1762+1278.41+2862.29</f>
        <v>5902.7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119</v>
      </c>
      <c r="C180" s="19" t="s">
        <v>20</v>
      </c>
      <c r="D180" s="19"/>
      <c r="E180" s="19" t="s">
        <v>25</v>
      </c>
      <c r="F180" s="20"/>
      <c r="G180" s="146" t="s">
        <v>22</v>
      </c>
      <c r="H180" s="169"/>
      <c r="I180" s="148"/>
      <c r="J180" s="148"/>
      <c r="K180" s="149"/>
      <c r="L180" s="149" t="n">
        <f aca="false">M180+N180</f>
        <v>0</v>
      </c>
      <c r="M180" s="149"/>
      <c r="N180" s="190"/>
      <c r="O180" s="151" t="n">
        <v>2</v>
      </c>
      <c r="P180" s="149" t="n">
        <v>2643</v>
      </c>
      <c r="Q180" s="149" t="n">
        <f aca="false">R180+S180</f>
        <v>2643</v>
      </c>
      <c r="R180" s="149" t="n">
        <v>2643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42" t="s">
        <v>203</v>
      </c>
      <c r="G181" s="164" t="s">
        <v>26</v>
      </c>
      <c r="H181" s="175" t="n">
        <v>5</v>
      </c>
      <c r="I181" s="165" t="n">
        <v>2</v>
      </c>
      <c r="J181" s="165" t="n">
        <v>2</v>
      </c>
      <c r="K181" s="166" t="n">
        <v>1233.4</v>
      </c>
      <c r="L181" s="166" t="n">
        <f aca="false">M181+N181</f>
        <v>1812.59</v>
      </c>
      <c r="M181" s="166" t="n">
        <f aca="false">704.8+1107.79</f>
        <v>1812.59</v>
      </c>
      <c r="N181" s="156"/>
      <c r="O181" s="168" t="n">
        <v>3</v>
      </c>
      <c r="P181" s="166" t="n">
        <v>11226.21</v>
      </c>
      <c r="Q181" s="166" t="n">
        <f aca="false">R181+S181</f>
        <v>11226.21</v>
      </c>
      <c r="R181" s="166" t="n">
        <f aca="false">7349.81+50.59+3825.81</f>
        <v>11226.21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225</v>
      </c>
      <c r="C182" s="19"/>
      <c r="D182" s="19"/>
      <c r="E182" s="19"/>
      <c r="F182" s="20"/>
      <c r="G182" s="146" t="s">
        <v>22</v>
      </c>
      <c r="H182" s="147"/>
      <c r="I182" s="148"/>
      <c r="J182" s="148"/>
      <c r="K182" s="149"/>
      <c r="L182" s="149" t="n">
        <f aca="false">M182+N182</f>
        <v>0</v>
      </c>
      <c r="M182" s="149"/>
      <c r="N182" s="190"/>
      <c r="O182" s="151"/>
      <c r="P182" s="149"/>
      <c r="Q182" s="149" t="n">
        <f aca="false">R182+S182</f>
        <v>0</v>
      </c>
      <c r="R182" s="149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17"/>
      <c r="B183" s="18"/>
      <c r="C183" s="18"/>
      <c r="D183" s="18"/>
      <c r="E183" s="18"/>
      <c r="F183" s="26" t="s">
        <v>244</v>
      </c>
      <c r="G183" s="152" t="s">
        <v>23</v>
      </c>
      <c r="H183" s="176" t="n">
        <v>16</v>
      </c>
      <c r="I183" s="154" t="n">
        <v>12</v>
      </c>
      <c r="J183" s="154" t="n">
        <v>12</v>
      </c>
      <c r="K183" s="155" t="n">
        <v>15020.8</v>
      </c>
      <c r="L183" s="155" t="n">
        <v>3567.8</v>
      </c>
      <c r="M183" s="155" t="n">
        <v>3567.8</v>
      </c>
      <c r="N183" s="156"/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54"/>
      <c r="B184" s="55" t="s">
        <v>120</v>
      </c>
      <c r="C184" s="56" t="s">
        <v>20</v>
      </c>
      <c r="D184" s="56"/>
      <c r="E184" s="56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3</v>
      </c>
      <c r="P184" s="161" t="n">
        <v>3063.78</v>
      </c>
      <c r="Q184" s="161" t="n">
        <f aca="false">R184+S184</f>
        <v>3063.78</v>
      </c>
      <c r="R184" s="161" t="n">
        <v>3063.78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54"/>
      <c r="B185" s="55"/>
      <c r="C185" s="55"/>
      <c r="D185" s="55"/>
      <c r="E185" s="55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56"/>
      <c r="O185" s="168"/>
      <c r="P185" s="166"/>
      <c r="Q185" s="166" t="n">
        <f aca="false">R185+S185</f>
        <v>0</v>
      </c>
      <c r="R185" s="166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72"/>
      <c r="B186" s="18" t="s">
        <v>158</v>
      </c>
      <c r="C186" s="74"/>
      <c r="D186" s="56" t="s">
        <v>204</v>
      </c>
      <c r="E186" s="74"/>
      <c r="F186" s="53"/>
      <c r="G186" s="146" t="s">
        <v>22</v>
      </c>
      <c r="H186" s="195"/>
      <c r="I186" s="196"/>
      <c r="J186" s="196"/>
      <c r="K186" s="197"/>
      <c r="L186" s="197" t="n">
        <f aca="false">M186+N186</f>
        <v>0</v>
      </c>
      <c r="M186" s="197"/>
      <c r="N186" s="190"/>
      <c r="O186" s="199"/>
      <c r="P186" s="197"/>
      <c r="Q186" s="197" t="n">
        <f aca="false">R186+S186</f>
        <v>0</v>
      </c>
      <c r="R186" s="197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" hidden="false" customHeight="false" outlineLevel="0" collapsed="false">
      <c r="A187" s="54"/>
      <c r="B187" s="18"/>
      <c r="C187" s="56"/>
      <c r="D187" s="56"/>
      <c r="E187" s="56"/>
      <c r="F187" s="138" t="s">
        <v>205</v>
      </c>
      <c r="G187" s="152" t="s">
        <v>26</v>
      </c>
      <c r="H187" s="153" t="n">
        <v>6</v>
      </c>
      <c r="I187" s="200" t="n">
        <v>3</v>
      </c>
      <c r="J187" s="200" t="n">
        <v>3</v>
      </c>
      <c r="K187" s="201" t="n">
        <v>4739.06</v>
      </c>
      <c r="L187" s="201" t="n">
        <f aca="false">M187+N187</f>
        <v>0</v>
      </c>
      <c r="M187" s="201"/>
      <c r="N187" s="156"/>
      <c r="O187" s="203"/>
      <c r="P187" s="201"/>
      <c r="Q187" s="201" t="n">
        <f aca="false">R187+S187</f>
        <v>0</v>
      </c>
      <c r="R187" s="201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33"/>
      <c r="B188" s="34" t="s">
        <v>152</v>
      </c>
      <c r="C188" s="35" t="s">
        <v>20</v>
      </c>
      <c r="D188" s="35"/>
      <c r="E188" s="35" t="s">
        <v>25</v>
      </c>
      <c r="F188" s="36"/>
      <c r="G188" s="158" t="s">
        <v>22</v>
      </c>
      <c r="H188" s="169"/>
      <c r="I188" s="160"/>
      <c r="J188" s="160"/>
      <c r="K188" s="161"/>
      <c r="L188" s="161" t="n">
        <f aca="false">M188+N188</f>
        <v>0</v>
      </c>
      <c r="M188" s="161"/>
      <c r="N188" s="190"/>
      <c r="O188" s="163" t="n">
        <v>4</v>
      </c>
      <c r="P188" s="161" t="n">
        <v>7400.4</v>
      </c>
      <c r="Q188" s="161" t="n">
        <f aca="false">R188+S188</f>
        <v>7400.4</v>
      </c>
      <c r="R188" s="161" t="n">
        <v>7400.4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206</v>
      </c>
      <c r="G189" s="164" t="s">
        <v>26</v>
      </c>
      <c r="H189" s="171" t="n">
        <v>4</v>
      </c>
      <c r="I189" s="165"/>
      <c r="J189" s="165" t="n">
        <v>1</v>
      </c>
      <c r="K189" s="166" t="n">
        <v>704.8</v>
      </c>
      <c r="L189" s="166" t="n">
        <v>0</v>
      </c>
      <c r="M189" s="166" t="n">
        <f aca="false">4228.8</f>
        <v>4228.8</v>
      </c>
      <c r="N189" s="156"/>
      <c r="O189" s="168" t="n">
        <v>7</v>
      </c>
      <c r="P189" s="166" t="n">
        <v>12950.7</v>
      </c>
      <c r="Q189" s="161" t="n">
        <f aca="false">R189+S189</f>
        <v>12950.7</v>
      </c>
      <c r="R189" s="166" t="n">
        <f aca="false">2731.1+4228.8+5990.8</f>
        <v>12950.7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122</v>
      </c>
      <c r="C190" s="19" t="s">
        <v>20</v>
      </c>
      <c r="D190" s="19"/>
      <c r="E190" s="19" t="s">
        <v>116</v>
      </c>
      <c r="F190" s="20"/>
      <c r="G190" s="146" t="s">
        <v>22</v>
      </c>
      <c r="H190" s="159" t="n">
        <v>35</v>
      </c>
      <c r="I190" s="148" t="n">
        <v>31</v>
      </c>
      <c r="J190" s="148" t="n">
        <v>43</v>
      </c>
      <c r="K190" s="149" t="n">
        <v>68722.77</v>
      </c>
      <c r="L190" s="149" t="n">
        <f aca="false">M190+N190</f>
        <v>63069.56</v>
      </c>
      <c r="M190" s="149" t="n">
        <v>51516.04</v>
      </c>
      <c r="N190" s="190" t="n">
        <v>11553.52</v>
      </c>
      <c r="O190" s="151" t="n">
        <v>31</v>
      </c>
      <c r="P190" s="149" t="n">
        <v>112720.04</v>
      </c>
      <c r="Q190" s="149" t="n">
        <f aca="false">R190+S190</f>
        <v>112720.04</v>
      </c>
      <c r="R190" s="149" t="n">
        <v>96577.15</v>
      </c>
      <c r="S190" s="190" t="n">
        <v>16142.89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152" t="s">
        <v>26</v>
      </c>
      <c r="H191" s="153"/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123</v>
      </c>
      <c r="C192" s="35" t="s">
        <v>20</v>
      </c>
      <c r="D192" s="35"/>
      <c r="E192" s="35" t="s">
        <v>25</v>
      </c>
      <c r="F192" s="36"/>
      <c r="G192" s="146" t="s">
        <v>22</v>
      </c>
      <c r="H192" s="159" t="n">
        <v>6</v>
      </c>
      <c r="I192" s="160" t="n">
        <v>6</v>
      </c>
      <c r="J192" s="160" t="n">
        <v>6</v>
      </c>
      <c r="K192" s="161" t="n">
        <v>5298.16</v>
      </c>
      <c r="L192" s="161" t="n">
        <f aca="false">M192+N192</f>
        <v>4193.56</v>
      </c>
      <c r="M192" s="161" t="n">
        <v>4193.56</v>
      </c>
      <c r="N192" s="190"/>
      <c r="O192" s="163" t="n">
        <v>6</v>
      </c>
      <c r="P192" s="161" t="n">
        <v>10868.41</v>
      </c>
      <c r="Q192" s="161" t="n">
        <f aca="false">R192+S192</f>
        <v>10868.41</v>
      </c>
      <c r="R192" s="161" t="n">
        <v>10868.41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207</v>
      </c>
      <c r="G193" s="164" t="s">
        <v>26</v>
      </c>
      <c r="H193" s="153" t="n">
        <v>5</v>
      </c>
      <c r="I193" s="165" t="n">
        <v>2</v>
      </c>
      <c r="J193" s="165" t="n">
        <v>2</v>
      </c>
      <c r="K193" s="166" t="n">
        <v>1472.8</v>
      </c>
      <c r="L193" s="161" t="n">
        <f aca="false">M193+N193</f>
        <v>552.3</v>
      </c>
      <c r="M193" s="166" t="n">
        <v>0</v>
      </c>
      <c r="N193" s="156" t="n">
        <v>552.3</v>
      </c>
      <c r="O193" s="168" t="n">
        <v>3</v>
      </c>
      <c r="P193" s="166" t="n">
        <v>881</v>
      </c>
      <c r="Q193" s="166" t="n">
        <f aca="false">R193+S193</f>
        <v>7692.7</v>
      </c>
      <c r="R193" s="166" t="n">
        <f aca="false">881</f>
        <v>881</v>
      </c>
      <c r="S193" s="156" t="n">
        <f aca="false">6811.7</f>
        <v>6811.7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124</v>
      </c>
      <c r="C194" s="19" t="s">
        <v>20</v>
      </c>
      <c r="D194" s="19"/>
      <c r="E194" s="19" t="s">
        <v>88</v>
      </c>
      <c r="F194" s="20"/>
      <c r="G194" s="146" t="s">
        <v>22</v>
      </c>
      <c r="H194" s="159" t="n">
        <v>20</v>
      </c>
      <c r="I194" s="148" t="n">
        <v>13</v>
      </c>
      <c r="J194" s="148" t="n">
        <v>14</v>
      </c>
      <c r="K194" s="149" t="n">
        <v>25635.97</v>
      </c>
      <c r="L194" s="149" t="n">
        <f aca="false">M194+N194</f>
        <v>9941.39</v>
      </c>
      <c r="M194" s="149" t="n">
        <v>9941.39</v>
      </c>
      <c r="N194" s="190"/>
      <c r="O194" s="151" t="n">
        <v>11</v>
      </c>
      <c r="P194" s="149" t="n">
        <v>25417.55</v>
      </c>
      <c r="Q194" s="149" t="n">
        <f aca="false">R194+S194</f>
        <v>21526.95</v>
      </c>
      <c r="R194" s="149" t="n">
        <v>21526.95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42" t="s">
        <v>245</v>
      </c>
      <c r="G195" s="164" t="s">
        <v>23</v>
      </c>
      <c r="H195" s="172" t="n">
        <v>11</v>
      </c>
      <c r="I195" s="165" t="n">
        <v>5</v>
      </c>
      <c r="J195" s="165" t="n">
        <v>5</v>
      </c>
      <c r="K195" s="166" t="n">
        <v>3065.9</v>
      </c>
      <c r="L195" s="166" t="n">
        <v>396.45</v>
      </c>
      <c r="M195" s="166" t="n">
        <v>396.45</v>
      </c>
      <c r="N195" s="156"/>
      <c r="O195" s="168" t="n">
        <v>10</v>
      </c>
      <c r="P195" s="166" t="n">
        <v>13133.05</v>
      </c>
      <c r="Q195" s="166" t="n">
        <v>9061.9</v>
      </c>
      <c r="R195" s="166" t="n">
        <v>9061.9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208</v>
      </c>
      <c r="C196" s="19"/>
      <c r="D196" s="19"/>
      <c r="E196" s="127"/>
      <c r="F196" s="20"/>
      <c r="G196" s="146" t="s">
        <v>22</v>
      </c>
      <c r="H196" s="173" t="n">
        <v>40</v>
      </c>
      <c r="I196" s="148" t="n">
        <v>25</v>
      </c>
      <c r="J196" s="148" t="n">
        <v>25</v>
      </c>
      <c r="K196" s="149" t="n">
        <v>31863.12</v>
      </c>
      <c r="L196" s="149" t="n">
        <f aca="false">M196+N196</f>
        <v>30664.96</v>
      </c>
      <c r="M196" s="149" t="n">
        <v>30664.96</v>
      </c>
      <c r="N196" s="190"/>
      <c r="O196" s="151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28"/>
      <c r="F197" s="26" t="s">
        <v>246</v>
      </c>
      <c r="G197" s="152" t="s">
        <v>23</v>
      </c>
      <c r="H197" s="174" t="n">
        <v>11</v>
      </c>
      <c r="I197" s="154" t="n">
        <v>10</v>
      </c>
      <c r="J197" s="154" t="n">
        <v>10</v>
      </c>
      <c r="K197" s="155" t="n">
        <v>9872.91</v>
      </c>
      <c r="L197" s="155" t="n">
        <f aca="false">M197+N197</f>
        <v>1938.2</v>
      </c>
      <c r="M197" s="155" t="n">
        <v>1938.2</v>
      </c>
      <c r="N197" s="156"/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125</v>
      </c>
      <c r="C198" s="35" t="s">
        <v>33</v>
      </c>
      <c r="D198" s="35" t="s">
        <v>126</v>
      </c>
      <c r="E198" s="35" t="s">
        <v>127</v>
      </c>
      <c r="F198" s="36"/>
      <c r="G198" s="158" t="s">
        <v>22</v>
      </c>
      <c r="H198" s="159" t="n">
        <v>16</v>
      </c>
      <c r="I198" s="160" t="n">
        <v>10</v>
      </c>
      <c r="J198" s="160" t="n">
        <v>12</v>
      </c>
      <c r="K198" s="161" t="n">
        <v>33928.76</v>
      </c>
      <c r="L198" s="161" t="n">
        <f aca="false">M198+N198</f>
        <v>29800.18</v>
      </c>
      <c r="M198" s="161" t="n">
        <v>29800.18</v>
      </c>
      <c r="N198" s="190"/>
      <c r="O198" s="163" t="n">
        <v>14</v>
      </c>
      <c r="P198" s="161" t="n">
        <v>33154.57</v>
      </c>
      <c r="Q198" s="161" t="n">
        <f aca="false">R198+S198</f>
        <v>33154.57</v>
      </c>
      <c r="R198" s="161" t="n">
        <v>33154.57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/>
      <c r="G199" s="164" t="s">
        <v>23</v>
      </c>
      <c r="H199" s="171" t="n">
        <v>34</v>
      </c>
      <c r="I199" s="165" t="n">
        <v>10</v>
      </c>
      <c r="J199" s="165" t="n">
        <v>10</v>
      </c>
      <c r="K199" s="166" t="n">
        <v>18016.03</v>
      </c>
      <c r="L199" s="166" t="n">
        <v>5109.8</v>
      </c>
      <c r="M199" s="166" t="n">
        <v>5109.8</v>
      </c>
      <c r="N199" s="156"/>
      <c r="O199" s="168" t="n">
        <v>22</v>
      </c>
      <c r="P199" s="166" t="n">
        <v>46106.1</v>
      </c>
      <c r="Q199" s="166" t="n">
        <v>37639.62</v>
      </c>
      <c r="R199" s="166" t="n">
        <v>37639.62</v>
      </c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" hidden="false" customHeight="true" outlineLevel="0" collapsed="false">
      <c r="A200" s="17"/>
      <c r="B200" s="18" t="s">
        <v>128</v>
      </c>
      <c r="C200" s="19" t="s">
        <v>20</v>
      </c>
      <c r="D200" s="19"/>
      <c r="E200" s="19" t="s">
        <v>25</v>
      </c>
      <c r="F200" s="20"/>
      <c r="G200" s="146" t="s">
        <v>22</v>
      </c>
      <c r="H200" s="159" t="n">
        <v>25</v>
      </c>
      <c r="I200" s="148" t="n">
        <v>16</v>
      </c>
      <c r="J200" s="148" t="n">
        <v>18</v>
      </c>
      <c r="K200" s="149" t="n">
        <v>18890.76</v>
      </c>
      <c r="L200" s="149" t="n">
        <f aca="false">M200+N200</f>
        <v>13365.9</v>
      </c>
      <c r="M200" s="149" t="n">
        <v>13365.9</v>
      </c>
      <c r="N200" s="190"/>
      <c r="O200" s="151" t="n">
        <v>25</v>
      </c>
      <c r="P200" s="149" t="n">
        <v>47491.14</v>
      </c>
      <c r="Q200" s="149" t="n">
        <f aca="false">R200+S200</f>
        <v>42740.26</v>
      </c>
      <c r="R200" s="149" t="n">
        <v>42740.26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71"/>
      <c r="G201" s="164" t="s">
        <v>26</v>
      </c>
      <c r="H201" s="175"/>
      <c r="I201" s="165"/>
      <c r="J201" s="165"/>
      <c r="K201" s="166"/>
      <c r="L201" s="166" t="n">
        <f aca="false">M201+N201</f>
        <v>0</v>
      </c>
      <c r="M201" s="166"/>
      <c r="N201" s="156"/>
      <c r="O201" s="168"/>
      <c r="P201" s="166"/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227</v>
      </c>
      <c r="C202" s="19"/>
      <c r="D202" s="19"/>
      <c r="E202" s="19"/>
      <c r="F202" s="20"/>
      <c r="G202" s="204" t="s">
        <v>22</v>
      </c>
      <c r="H202" s="173" t="n">
        <v>5</v>
      </c>
      <c r="I202" s="148" t="n">
        <v>1</v>
      </c>
      <c r="J202" s="148" t="n">
        <v>1</v>
      </c>
      <c r="K202" s="149" t="n">
        <v>621.99</v>
      </c>
      <c r="L202" s="149" t="n">
        <f aca="false">M202+N202</f>
        <v>0</v>
      </c>
      <c r="M202" s="149"/>
      <c r="N202" s="190"/>
      <c r="O202" s="206"/>
      <c r="P202" s="149"/>
      <c r="Q202" s="149" t="n">
        <f aca="false">R202+S202</f>
        <v>0</v>
      </c>
      <c r="R202" s="149"/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251" t="s">
        <v>26</v>
      </c>
      <c r="H203" s="177"/>
      <c r="I203" s="165"/>
      <c r="J203" s="165"/>
      <c r="K203" s="166"/>
      <c r="L203" s="166" t="n">
        <f aca="false">M203+N203</f>
        <v>0</v>
      </c>
      <c r="M203" s="166"/>
      <c r="N203" s="167"/>
      <c r="O203" s="23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296</v>
      </c>
      <c r="C204" s="19"/>
      <c r="D204" s="19"/>
      <c r="E204" s="19" t="s">
        <v>25</v>
      </c>
      <c r="F204" s="20"/>
      <c r="G204" s="146" t="s">
        <v>22</v>
      </c>
      <c r="H204" s="173" t="n">
        <v>1</v>
      </c>
      <c r="I204" s="148"/>
      <c r="J204" s="148"/>
      <c r="K204" s="149"/>
      <c r="L204" s="149" t="n">
        <f aca="false">M204+N204</f>
        <v>0</v>
      </c>
      <c r="M204" s="149"/>
      <c r="N204" s="150"/>
      <c r="O204" s="206"/>
      <c r="P204" s="149"/>
      <c r="Q204" s="149" t="n">
        <f aca="false">R204+S204</f>
        <v>0</v>
      </c>
      <c r="R204" s="149"/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57"/>
      <c r="G205" s="152" t="s">
        <v>26</v>
      </c>
      <c r="H205" s="174"/>
      <c r="I205" s="154"/>
      <c r="J205" s="154"/>
      <c r="K205" s="155"/>
      <c r="L205" s="155" t="n">
        <f aca="false">M205+N205</f>
        <v>0</v>
      </c>
      <c r="M205" s="155"/>
      <c r="N205" s="156"/>
      <c r="O205" s="209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129</v>
      </c>
      <c r="C206" s="35" t="s">
        <v>38</v>
      </c>
      <c r="D206" s="35" t="s">
        <v>130</v>
      </c>
      <c r="E206" s="35" t="s">
        <v>25</v>
      </c>
      <c r="F206" s="36"/>
      <c r="G206" s="158" t="s">
        <v>22</v>
      </c>
      <c r="H206" s="159" t="n">
        <v>15</v>
      </c>
      <c r="I206" s="160" t="n">
        <v>12</v>
      </c>
      <c r="J206" s="160" t="n">
        <v>12</v>
      </c>
      <c r="K206" s="161" t="n">
        <v>13026.32</v>
      </c>
      <c r="L206" s="161" t="n">
        <f aca="false">M206+N206</f>
        <v>8519.19</v>
      </c>
      <c r="M206" s="161" t="n">
        <v>8519.19</v>
      </c>
      <c r="N206" s="190"/>
      <c r="O206" s="163" t="n">
        <v>5</v>
      </c>
      <c r="P206" s="161" t="n">
        <v>66458.37</v>
      </c>
      <c r="Q206" s="161" t="n">
        <f aca="false">R206+S206</f>
        <v>66458.37</v>
      </c>
      <c r="R206" s="161" t="n">
        <v>66458.37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209</v>
      </c>
      <c r="G207" s="164" t="s">
        <v>26</v>
      </c>
      <c r="H207" s="153" t="n">
        <v>5</v>
      </c>
      <c r="I207" s="165" t="n">
        <v>1</v>
      </c>
      <c r="J207" s="165" t="n">
        <v>1</v>
      </c>
      <c r="K207" s="166" t="n">
        <v>1762</v>
      </c>
      <c r="L207" s="161" t="n">
        <f aca="false">M207+N207</f>
        <v>1762</v>
      </c>
      <c r="M207" s="166" t="n">
        <f aca="false">1762</f>
        <v>1762</v>
      </c>
      <c r="N207" s="156"/>
      <c r="O207" s="168" t="n">
        <v>7</v>
      </c>
      <c r="P207" s="166" t="n">
        <v>22040.1</v>
      </c>
      <c r="Q207" s="166" t="n">
        <f aca="false">R207+S207</f>
        <v>22040.1</v>
      </c>
      <c r="R207" s="166" t="n">
        <f aca="false">881+881+14612.2+1409.5+4256.4</f>
        <v>22040.1</v>
      </c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17"/>
      <c r="B208" s="18" t="s">
        <v>131</v>
      </c>
      <c r="C208" s="19" t="s">
        <v>38</v>
      </c>
      <c r="D208" s="19" t="s">
        <v>130</v>
      </c>
      <c r="E208" s="19" t="s">
        <v>25</v>
      </c>
      <c r="F208" s="20"/>
      <c r="G208" s="146" t="s">
        <v>22</v>
      </c>
      <c r="H208" s="159" t="n">
        <v>10</v>
      </c>
      <c r="I208" s="148" t="n">
        <v>9</v>
      </c>
      <c r="J208" s="148" t="n">
        <v>17</v>
      </c>
      <c r="K208" s="149" t="n">
        <v>55173.64</v>
      </c>
      <c r="L208" s="149" t="n">
        <f aca="false">M208+N208</f>
        <v>31320.86</v>
      </c>
      <c r="M208" s="149" t="n">
        <v>31320.86</v>
      </c>
      <c r="N208" s="190"/>
      <c r="O208" s="151" t="n">
        <v>17</v>
      </c>
      <c r="P208" s="149" t="n">
        <v>163313.47</v>
      </c>
      <c r="Q208" s="149" t="n">
        <f aca="false">R208+S208</f>
        <v>151501.71</v>
      </c>
      <c r="R208" s="149" t="n">
        <v>151501.71</v>
      </c>
      <c r="S208" s="198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17"/>
      <c r="B209" s="18"/>
      <c r="C209" s="18"/>
      <c r="D209" s="18"/>
      <c r="E209" s="18"/>
      <c r="F209" s="26" t="s">
        <v>210</v>
      </c>
      <c r="G209" s="152" t="s">
        <v>26</v>
      </c>
      <c r="H209" s="153" t="n">
        <v>5</v>
      </c>
      <c r="I209" s="154" t="n">
        <v>4</v>
      </c>
      <c r="J209" s="154" t="n">
        <v>4</v>
      </c>
      <c r="K209" s="155" t="n">
        <v>3034.9</v>
      </c>
      <c r="L209" s="155" t="n">
        <f aca="false">M209+N209</f>
        <v>3034.9</v>
      </c>
      <c r="M209" s="155" t="n">
        <f aca="false">1585.8+528.6</f>
        <v>2114.4</v>
      </c>
      <c r="N209" s="156" t="n">
        <f aca="false">920.5</f>
        <v>920.5</v>
      </c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33"/>
      <c r="B210" s="34" t="s">
        <v>132</v>
      </c>
      <c r="C210" s="35" t="s">
        <v>20</v>
      </c>
      <c r="D210" s="35"/>
      <c r="E210" s="35" t="s">
        <v>69</v>
      </c>
      <c r="F210" s="38"/>
      <c r="G210" s="146" t="s">
        <v>22</v>
      </c>
      <c r="H210" s="159" t="n">
        <v>13</v>
      </c>
      <c r="I210" s="160" t="n">
        <v>11</v>
      </c>
      <c r="J210" s="160" t="n">
        <v>17</v>
      </c>
      <c r="K210" s="161" t="n">
        <v>39190.81</v>
      </c>
      <c r="L210" s="161" t="n">
        <f aca="false">M210+N210</f>
        <v>23368.97</v>
      </c>
      <c r="M210" s="161" t="n">
        <v>23368.97</v>
      </c>
      <c r="N210" s="190"/>
      <c r="O210" s="163" t="n">
        <v>14</v>
      </c>
      <c r="P210" s="161" t="n">
        <v>59082.08</v>
      </c>
      <c r="Q210" s="161" t="n">
        <f aca="false">R210+S210</f>
        <v>39943.71</v>
      </c>
      <c r="R210" s="161" t="n">
        <v>39943.71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33"/>
      <c r="B211" s="34"/>
      <c r="C211" s="34"/>
      <c r="D211" s="34"/>
      <c r="E211" s="34"/>
      <c r="F211" s="42" t="s">
        <v>211</v>
      </c>
      <c r="G211" s="164" t="s">
        <v>26</v>
      </c>
      <c r="H211" s="153" t="n">
        <v>10</v>
      </c>
      <c r="I211" s="165" t="n">
        <v>4</v>
      </c>
      <c r="J211" s="165" t="n">
        <v>4</v>
      </c>
      <c r="K211" s="166" t="n">
        <v>12298.76</v>
      </c>
      <c r="L211" s="166" t="n">
        <f aca="false">M211+N211</f>
        <v>5551.23</v>
      </c>
      <c r="M211" s="166"/>
      <c r="N211" s="156" t="n">
        <v>5551.23</v>
      </c>
      <c r="O211" s="168" t="n">
        <v>1</v>
      </c>
      <c r="P211" s="166" t="n">
        <v>3700.2</v>
      </c>
      <c r="Q211" s="166" t="n">
        <f aca="false">R211+S211</f>
        <v>3700.2</v>
      </c>
      <c r="R211" s="166"/>
      <c r="S211" s="156" t="n">
        <v>3700.2</v>
      </c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72"/>
      <c r="B212" s="73" t="s">
        <v>133</v>
      </c>
      <c r="C212" s="74" t="s">
        <v>20</v>
      </c>
      <c r="D212" s="74"/>
      <c r="E212" s="74" t="s">
        <v>25</v>
      </c>
      <c r="F212" s="22"/>
      <c r="G212" s="146" t="s">
        <v>22</v>
      </c>
      <c r="H212" s="159" t="n">
        <v>4</v>
      </c>
      <c r="I212" s="148" t="n">
        <v>4</v>
      </c>
      <c r="J212" s="148" t="n">
        <v>5</v>
      </c>
      <c r="K212" s="149" t="n">
        <v>7984.73</v>
      </c>
      <c r="L212" s="149" t="n">
        <f aca="false">M212+N212</f>
        <v>7984.73</v>
      </c>
      <c r="M212" s="149" t="n">
        <v>7984.73</v>
      </c>
      <c r="N212" s="190"/>
      <c r="O212" s="151" t="n">
        <v>2</v>
      </c>
      <c r="P212" s="149" t="n">
        <v>4329.79</v>
      </c>
      <c r="Q212" s="149" t="n">
        <f aca="false">R212+S212</f>
        <v>4329.79</v>
      </c>
      <c r="R212" s="149" t="n">
        <v>4329.79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72"/>
      <c r="B213" s="73"/>
      <c r="C213" s="73"/>
      <c r="D213" s="73"/>
      <c r="E213" s="73"/>
      <c r="F213" s="42" t="s">
        <v>212</v>
      </c>
      <c r="G213" s="164" t="s">
        <v>26</v>
      </c>
      <c r="H213" s="171" t="n">
        <v>4</v>
      </c>
      <c r="I213" s="165" t="n">
        <v>1</v>
      </c>
      <c r="J213" s="165" t="n">
        <v>1</v>
      </c>
      <c r="K213" s="166" t="n">
        <v>1409.6</v>
      </c>
      <c r="L213" s="166" t="n">
        <f aca="false">M213+N213</f>
        <v>1409.6</v>
      </c>
      <c r="M213" s="166" t="n">
        <f aca="false">1409.6</f>
        <v>1409.6</v>
      </c>
      <c r="N213" s="156"/>
      <c r="O213" s="168" t="n">
        <v>2</v>
      </c>
      <c r="P213" s="166" t="n">
        <v>2907.3</v>
      </c>
      <c r="Q213" s="166" t="n">
        <f aca="false">R213+S213</f>
        <v>2907.3</v>
      </c>
      <c r="R213" s="166" t="n">
        <f aca="false">1321.5+1585.8</f>
        <v>2907.3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134</v>
      </c>
      <c r="C214" s="74" t="s">
        <v>20</v>
      </c>
      <c r="D214" s="74"/>
      <c r="E214" s="74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</v>
      </c>
      <c r="P214" s="149" t="n">
        <v>13019.26</v>
      </c>
      <c r="Q214" s="149" t="n">
        <f aca="false">R214+S214</f>
        <v>13019.26</v>
      </c>
      <c r="R214" s="149" t="n">
        <v>13019.26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72"/>
      <c r="B215" s="73"/>
      <c r="C215" s="73"/>
      <c r="D215" s="73"/>
      <c r="E215" s="73"/>
      <c r="F215" s="42" t="s">
        <v>213</v>
      </c>
      <c r="G215" s="164" t="s">
        <v>26</v>
      </c>
      <c r="H215" s="153" t="n">
        <v>5</v>
      </c>
      <c r="I215" s="165" t="n">
        <v>1</v>
      </c>
      <c r="J215" s="165" t="n">
        <v>1</v>
      </c>
      <c r="K215" s="166" t="n">
        <v>552.3</v>
      </c>
      <c r="L215" s="166" t="n">
        <f aca="false">M215+N215</f>
        <v>0</v>
      </c>
      <c r="M215" s="166"/>
      <c r="N215" s="156"/>
      <c r="O215" s="168" t="n">
        <v>7</v>
      </c>
      <c r="P215" s="166" t="n">
        <v>28509.42</v>
      </c>
      <c r="Q215" s="166" t="n">
        <f aca="false">R215+S215</f>
        <v>34681.92</v>
      </c>
      <c r="R215" s="166" t="n">
        <f aca="false">19875.62+8633.8</f>
        <v>28509.42</v>
      </c>
      <c r="S215" s="156" t="n">
        <f aca="false">6172.5</f>
        <v>6172.5</v>
      </c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135</v>
      </c>
      <c r="C216" s="19" t="s">
        <v>20</v>
      </c>
      <c r="D216" s="19"/>
      <c r="E216" s="19" t="s">
        <v>69</v>
      </c>
      <c r="F216" s="22"/>
      <c r="G216" s="146" t="s">
        <v>22</v>
      </c>
      <c r="H216" s="159" t="n">
        <v>14</v>
      </c>
      <c r="I216" s="148" t="n">
        <v>7</v>
      </c>
      <c r="J216" s="148" t="n">
        <v>8</v>
      </c>
      <c r="K216" s="149" t="n">
        <v>17185.96</v>
      </c>
      <c r="L216" s="149" t="n">
        <f aca="false">M216+N216</f>
        <v>11754.09</v>
      </c>
      <c r="M216" s="149" t="n">
        <v>11754.09</v>
      </c>
      <c r="N216" s="190"/>
      <c r="O216" s="151" t="n">
        <v>13</v>
      </c>
      <c r="P216" s="149" t="n">
        <v>42132.95</v>
      </c>
      <c r="Q216" s="149" t="n">
        <f aca="false">R216+S216</f>
        <v>42132.95</v>
      </c>
      <c r="R216" s="149" t="n">
        <v>42132.95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277</v>
      </c>
      <c r="G217" s="152" t="s">
        <v>26</v>
      </c>
      <c r="H217" s="171" t="n">
        <v>7</v>
      </c>
      <c r="I217" s="154"/>
      <c r="J217" s="154" t="n">
        <v>2</v>
      </c>
      <c r="K217" s="155" t="n">
        <v>1409.6</v>
      </c>
      <c r="L217" s="155" t="n">
        <f aca="false">M217+N217</f>
        <v>3347.8</v>
      </c>
      <c r="M217" s="155"/>
      <c r="N217" s="156" t="n">
        <f aca="false">3347.8</f>
        <v>3347.8</v>
      </c>
      <c r="O217" s="157" t="n">
        <v>2</v>
      </c>
      <c r="P217" s="155" t="n">
        <v>2292.9</v>
      </c>
      <c r="Q217" s="155" t="n">
        <f aca="false">R217+S217</f>
        <v>792.9</v>
      </c>
      <c r="R217" s="155" t="n">
        <f aca="false">792.9</f>
        <v>792.9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33"/>
      <c r="B218" s="34" t="s">
        <v>136</v>
      </c>
      <c r="C218" s="35" t="s">
        <v>20</v>
      </c>
      <c r="D218" s="35"/>
      <c r="E218" s="35" t="s">
        <v>98</v>
      </c>
      <c r="F218" s="36"/>
      <c r="G218" s="146" t="s">
        <v>22</v>
      </c>
      <c r="H218" s="159" t="n">
        <v>24</v>
      </c>
      <c r="I218" s="160" t="n">
        <v>14</v>
      </c>
      <c r="J218" s="160" t="n">
        <v>21</v>
      </c>
      <c r="K218" s="161" t="n">
        <v>39745.81</v>
      </c>
      <c r="L218" s="161" t="n">
        <f aca="false">M218+N218</f>
        <v>27069.8</v>
      </c>
      <c r="M218" s="161" t="n">
        <v>27069.8</v>
      </c>
      <c r="N218" s="190"/>
      <c r="O218" s="163" t="n">
        <v>11</v>
      </c>
      <c r="P218" s="161" t="n">
        <v>23371.27</v>
      </c>
      <c r="Q218" s="161" t="n">
        <f aca="false">R218+S218</f>
        <v>14877.54</v>
      </c>
      <c r="R218" s="161" t="n">
        <v>14877.54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247</v>
      </c>
      <c r="G219" s="164" t="s">
        <v>23</v>
      </c>
      <c r="H219" s="171" t="n">
        <v>8</v>
      </c>
      <c r="I219" s="165" t="n">
        <v>6</v>
      </c>
      <c r="J219" s="165" t="n">
        <v>6</v>
      </c>
      <c r="K219" s="166" t="n">
        <v>4581.2</v>
      </c>
      <c r="L219" s="166" t="n">
        <f aca="false">M219+N219</f>
        <v>4052.6</v>
      </c>
      <c r="M219" s="166" t="n">
        <v>4052.6</v>
      </c>
      <c r="N219" s="156"/>
      <c r="O219" s="168" t="n">
        <v>8</v>
      </c>
      <c r="P219" s="166" t="n">
        <v>15505.6</v>
      </c>
      <c r="Q219" s="166" t="n">
        <v>14800.8</v>
      </c>
      <c r="R219" s="166" t="n">
        <v>14800.8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137</v>
      </c>
      <c r="C220" s="19" t="s">
        <v>20</v>
      </c>
      <c r="D220" s="19"/>
      <c r="E220" s="19" t="s">
        <v>25</v>
      </c>
      <c r="F220" s="20"/>
      <c r="G220" s="146" t="s">
        <v>22</v>
      </c>
      <c r="H220" s="169"/>
      <c r="I220" s="148"/>
      <c r="J220" s="148"/>
      <c r="K220" s="149"/>
      <c r="L220" s="149" t="n">
        <f aca="false">M220+N220</f>
        <v>0</v>
      </c>
      <c r="M220" s="149"/>
      <c r="N220" s="190"/>
      <c r="O220" s="151" t="n">
        <v>14</v>
      </c>
      <c r="P220" s="149" t="n">
        <v>46258.85</v>
      </c>
      <c r="Q220" s="149" t="n">
        <f aca="false">R220+S220</f>
        <v>0</v>
      </c>
      <c r="R220" s="149"/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20.25" hidden="false" customHeight="true" outlineLevel="0" collapsed="false">
      <c r="A221" s="17"/>
      <c r="B221" s="18"/>
      <c r="C221" s="18"/>
      <c r="D221" s="18"/>
      <c r="E221" s="18"/>
      <c r="F221" s="26" t="s">
        <v>286</v>
      </c>
      <c r="G221" s="152" t="s">
        <v>26</v>
      </c>
      <c r="H221" s="153" t="n">
        <v>10</v>
      </c>
      <c r="I221" s="154" t="n">
        <v>6</v>
      </c>
      <c r="J221" s="154" t="n">
        <v>6</v>
      </c>
      <c r="K221" s="155" t="n">
        <v>6431.3</v>
      </c>
      <c r="L221" s="155" t="n">
        <f aca="false">M221+N221</f>
        <v>0</v>
      </c>
      <c r="M221" s="155"/>
      <c r="N221" s="156"/>
      <c r="O221" s="157" t="n">
        <v>5</v>
      </c>
      <c r="P221" s="155"/>
      <c r="Q221" s="155" t="n">
        <f aca="false">R221+S221</f>
        <v>0</v>
      </c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138</v>
      </c>
      <c r="C222" s="56" t="s">
        <v>33</v>
      </c>
      <c r="D222" s="56" t="s">
        <v>139</v>
      </c>
      <c r="E222" s="56" t="s">
        <v>25</v>
      </c>
      <c r="F222" s="36"/>
      <c r="G222" s="146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/>
      <c r="P222" s="161"/>
      <c r="Q222" s="161" t="n">
        <f aca="false">R222+S222</f>
        <v>0</v>
      </c>
      <c r="R222" s="161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26" t="s">
        <v>214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4158.32</v>
      </c>
      <c r="L223" s="155" t="n">
        <f aca="false">M223+N223</f>
        <v>4158.32</v>
      </c>
      <c r="M223" s="155" t="n">
        <f aca="false">2466.8+1691.52</f>
        <v>4158.32</v>
      </c>
      <c r="N223" s="156"/>
      <c r="O223" s="157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140</v>
      </c>
      <c r="C224" s="35" t="s">
        <v>20</v>
      </c>
      <c r="D224" s="35"/>
      <c r="E224" s="35" t="s">
        <v>141</v>
      </c>
      <c r="F224" s="36"/>
      <c r="G224" s="146" t="s">
        <v>22</v>
      </c>
      <c r="H224" s="159" t="n">
        <v>18</v>
      </c>
      <c r="I224" s="160" t="n">
        <v>14</v>
      </c>
      <c r="J224" s="160" t="n">
        <v>21</v>
      </c>
      <c r="K224" s="161" t="n">
        <v>33782.9</v>
      </c>
      <c r="L224" s="161" t="n">
        <f aca="false">M224+N224</f>
        <v>16759.36</v>
      </c>
      <c r="M224" s="161" t="n">
        <v>16759.36</v>
      </c>
      <c r="N224" s="190"/>
      <c r="O224" s="163" t="n">
        <v>12</v>
      </c>
      <c r="P224" s="161" t="n">
        <v>72912.46</v>
      </c>
      <c r="Q224" s="161" t="n">
        <f aca="false">R224+S224</f>
        <v>65251.23</v>
      </c>
      <c r="R224" s="161" t="n">
        <v>65251.23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215</v>
      </c>
      <c r="G225" s="164" t="s">
        <v>26</v>
      </c>
      <c r="H225" s="175" t="n">
        <v>2</v>
      </c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251</v>
      </c>
      <c r="C226" s="19" t="s">
        <v>20</v>
      </c>
      <c r="D226" s="19"/>
      <c r="E226" s="19" t="s">
        <v>116</v>
      </c>
      <c r="F226" s="20"/>
      <c r="G226" s="146" t="s">
        <v>22</v>
      </c>
      <c r="H226" s="173" t="n">
        <v>6</v>
      </c>
      <c r="I226" s="148" t="n">
        <v>3</v>
      </c>
      <c r="J226" s="148" t="n">
        <v>3</v>
      </c>
      <c r="K226" s="149" t="n">
        <v>3851.92</v>
      </c>
      <c r="L226" s="166" t="n">
        <f aca="false">M226+N226</f>
        <v>3851.92</v>
      </c>
      <c r="M226" s="149" t="n">
        <v>3851.92</v>
      </c>
      <c r="N226" s="190"/>
      <c r="O226" s="206"/>
      <c r="P226" s="149"/>
      <c r="Q226" s="149"/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252</v>
      </c>
      <c r="G227" s="152" t="s">
        <v>26</v>
      </c>
      <c r="H227" s="174" t="n">
        <v>7</v>
      </c>
      <c r="I227" s="154"/>
      <c r="J227" s="154"/>
      <c r="K227" s="155"/>
      <c r="L227" s="166" t="n">
        <f aca="false">M227+N227</f>
        <v>0</v>
      </c>
      <c r="M227" s="155"/>
      <c r="N227" s="156"/>
      <c r="O227" s="209"/>
      <c r="P227" s="155"/>
      <c r="Q227" s="155"/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142</v>
      </c>
      <c r="C228" s="56" t="s">
        <v>20</v>
      </c>
      <c r="D228" s="56"/>
      <c r="E228" s="56" t="s">
        <v>25</v>
      </c>
      <c r="F228" s="36"/>
      <c r="G228" s="158" t="s">
        <v>22</v>
      </c>
      <c r="H228" s="173" t="n">
        <v>6</v>
      </c>
      <c r="I228" s="148" t="n">
        <v>4</v>
      </c>
      <c r="J228" s="148" t="n">
        <v>4</v>
      </c>
      <c r="K228" s="149" t="n">
        <v>3418.28</v>
      </c>
      <c r="L228" s="149" t="n">
        <f aca="false">M228+N228</f>
        <v>3418.28</v>
      </c>
      <c r="M228" s="149" t="n">
        <v>3418.28</v>
      </c>
      <c r="N228" s="190"/>
      <c r="O228" s="228" t="n">
        <v>6</v>
      </c>
      <c r="P228" s="161" t="n">
        <v>10969.43</v>
      </c>
      <c r="Q228" s="161" t="n">
        <f aca="false">R228+S228</f>
        <v>8844.46</v>
      </c>
      <c r="R228" s="161" t="n">
        <v>8844.46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42" t="s">
        <v>216</v>
      </c>
      <c r="G229" s="164" t="s">
        <v>26</v>
      </c>
      <c r="H229" s="177" t="n">
        <v>9</v>
      </c>
      <c r="I229" s="165" t="n">
        <v>4</v>
      </c>
      <c r="J229" s="165" t="n">
        <v>4</v>
      </c>
      <c r="K229" s="166" t="n">
        <v>8384.1</v>
      </c>
      <c r="L229" s="166" t="n">
        <f aca="false">M229+N229</f>
        <v>8384.1</v>
      </c>
      <c r="M229" s="166" t="n">
        <f aca="false">5167.21+823.59</f>
        <v>5990.8</v>
      </c>
      <c r="N229" s="167" t="n">
        <f aca="false">2393.3</f>
        <v>2393.3</v>
      </c>
      <c r="O229" s="238" t="n">
        <v>13</v>
      </c>
      <c r="P229" s="166" t="n">
        <v>8633.8</v>
      </c>
      <c r="Q229" s="166" t="n">
        <f aca="false">R229+S229</f>
        <v>8633.8</v>
      </c>
      <c r="R229" s="166" t="n">
        <f aca="false">823.59+1233.4+2819.2+3757.61</f>
        <v>8633.8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287</v>
      </c>
      <c r="C230" s="56" t="s">
        <v>20</v>
      </c>
      <c r="D230" s="19"/>
      <c r="E230" s="56" t="s">
        <v>25</v>
      </c>
      <c r="F230" s="20"/>
      <c r="G230" s="146" t="s">
        <v>22</v>
      </c>
      <c r="H230" s="147"/>
      <c r="I230" s="148"/>
      <c r="J230" s="148"/>
      <c r="K230" s="149"/>
      <c r="L230" s="149" t="n">
        <f aca="false">M230+N230</f>
        <v>0</v>
      </c>
      <c r="M230" s="149"/>
      <c r="N230" s="150"/>
      <c r="O230" s="206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288</v>
      </c>
      <c r="G231" s="152" t="s">
        <v>26</v>
      </c>
      <c r="H231" s="176" t="n">
        <v>5</v>
      </c>
      <c r="I231" s="154" t="n">
        <v>3</v>
      </c>
      <c r="J231" s="154" t="n">
        <v>3</v>
      </c>
      <c r="K231" s="155" t="n">
        <v>3171.6</v>
      </c>
      <c r="L231" s="155" t="n">
        <f aca="false">M231+N231</f>
        <v>3171.6</v>
      </c>
      <c r="M231" s="155" t="n">
        <f aca="false">3171.6</f>
        <v>3171.6</v>
      </c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33"/>
      <c r="B232" s="34" t="s">
        <v>143</v>
      </c>
      <c r="C232" s="35" t="s">
        <v>20</v>
      </c>
      <c r="D232" s="35"/>
      <c r="E232" s="35" t="s">
        <v>25</v>
      </c>
      <c r="F232" s="36"/>
      <c r="G232" s="158" t="s">
        <v>22</v>
      </c>
      <c r="H232" s="169" t="n">
        <v>1</v>
      </c>
      <c r="I232" s="160"/>
      <c r="J232" s="160"/>
      <c r="K232" s="161"/>
      <c r="L232" s="161" t="n">
        <f aca="false">M232+N232</f>
        <v>0</v>
      </c>
      <c r="M232" s="161"/>
      <c r="N232" s="190"/>
      <c r="O232" s="163" t="n">
        <v>1</v>
      </c>
      <c r="P232" s="161" t="n">
        <v>1515.67</v>
      </c>
      <c r="Q232" s="161" t="n">
        <f aca="false">R232+S232</f>
        <v>1515.67</v>
      </c>
      <c r="R232" s="161" t="n">
        <v>1515.67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42" t="s">
        <v>217</v>
      </c>
      <c r="G233" s="164" t="s">
        <v>26</v>
      </c>
      <c r="H233" s="171" t="n">
        <v>8</v>
      </c>
      <c r="I233" s="165" t="n">
        <v>4</v>
      </c>
      <c r="J233" s="165" t="n">
        <v>4</v>
      </c>
      <c r="K233" s="166" t="n">
        <v>9664.55</v>
      </c>
      <c r="L233" s="166" t="n">
        <f aca="false">M233+N233</f>
        <v>11100.6</v>
      </c>
      <c r="M233" s="166" t="n">
        <f aca="false">704.8+10395.8</f>
        <v>11100.6</v>
      </c>
      <c r="N233" s="156"/>
      <c r="O233" s="168" t="n">
        <v>9</v>
      </c>
      <c r="P233" s="166" t="n">
        <v>34775.2</v>
      </c>
      <c r="Q233" s="166" t="n">
        <f aca="false">R233+S233</f>
        <v>21496.4</v>
      </c>
      <c r="R233" s="166" t="n">
        <f aca="false">704.8+13038.8+511.81</f>
        <v>14255.41</v>
      </c>
      <c r="S233" s="156" t="n">
        <v>7240.99</v>
      </c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144</v>
      </c>
      <c r="C234" s="19" t="s">
        <v>20</v>
      </c>
      <c r="D234" s="19"/>
      <c r="E234" s="19" t="s">
        <v>81</v>
      </c>
      <c r="F234" s="20"/>
      <c r="G234" s="146" t="s">
        <v>22</v>
      </c>
      <c r="H234" s="159" t="n">
        <v>13</v>
      </c>
      <c r="I234" s="148" t="n">
        <v>8</v>
      </c>
      <c r="J234" s="148" t="n">
        <v>9</v>
      </c>
      <c r="K234" s="149" t="n">
        <v>8917.05</v>
      </c>
      <c r="L234" s="149" t="n">
        <f aca="false">M234+N234</f>
        <v>7588.94</v>
      </c>
      <c r="M234" s="149" t="n">
        <v>7588.94</v>
      </c>
      <c r="N234" s="190"/>
      <c r="O234" s="151" t="n">
        <v>6</v>
      </c>
      <c r="P234" s="149" t="n">
        <v>24751.07</v>
      </c>
      <c r="Q234" s="149" t="n">
        <f aca="false">R234+S234</f>
        <v>16284.3</v>
      </c>
      <c r="R234" s="149" t="n">
        <v>16284.3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218</v>
      </c>
      <c r="G235" s="152" t="s">
        <v>26</v>
      </c>
      <c r="H235" s="171" t="n">
        <v>7</v>
      </c>
      <c r="I235" s="154" t="n">
        <v>3</v>
      </c>
      <c r="J235" s="154" t="n">
        <v>3</v>
      </c>
      <c r="K235" s="155" t="n">
        <v>5341.3</v>
      </c>
      <c r="L235" s="155" t="n">
        <f aca="false">M235+N235</f>
        <v>5019.13</v>
      </c>
      <c r="M235" s="155" t="n">
        <f aca="false">4052.6</f>
        <v>4052.6</v>
      </c>
      <c r="N235" s="156" t="n">
        <f aca="false">966.53</f>
        <v>966.53</v>
      </c>
      <c r="O235" s="157" t="n">
        <v>2</v>
      </c>
      <c r="P235" s="155" t="s">
        <v>151</v>
      </c>
      <c r="Q235" s="155" t="n">
        <f aca="false">R235+S235</f>
        <v>4493.1</v>
      </c>
      <c r="R235" s="155" t="n">
        <f aca="false">4493.1</f>
        <v>4493.1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33"/>
      <c r="B236" s="34" t="s">
        <v>145</v>
      </c>
      <c r="C236" s="35" t="s">
        <v>20</v>
      </c>
      <c r="D236" s="35"/>
      <c r="E236" s="35" t="s">
        <v>98</v>
      </c>
      <c r="F236" s="36"/>
      <c r="G236" s="146" t="s">
        <v>22</v>
      </c>
      <c r="H236" s="169"/>
      <c r="I236" s="160"/>
      <c r="J236" s="160"/>
      <c r="K236" s="161"/>
      <c r="L236" s="161" t="n">
        <f aca="false">M236+N236</f>
        <v>0</v>
      </c>
      <c r="M236" s="161"/>
      <c r="N236" s="190"/>
      <c r="O236" s="163"/>
      <c r="P236" s="161"/>
      <c r="Q236" s="161" t="n">
        <f aca="false">R236+S236</f>
        <v>0</v>
      </c>
      <c r="R236" s="161"/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34"/>
      <c r="C237" s="34"/>
      <c r="D237" s="34"/>
      <c r="E237" s="34"/>
      <c r="F237" s="71"/>
      <c r="G237" s="164" t="s">
        <v>23</v>
      </c>
      <c r="H237" s="175"/>
      <c r="I237" s="165"/>
      <c r="J237" s="165"/>
      <c r="K237" s="166"/>
      <c r="L237" s="166" t="n">
        <f aca="false">M237+N237</f>
        <v>0</v>
      </c>
      <c r="M237" s="166"/>
      <c r="N237" s="156"/>
      <c r="O237" s="168"/>
      <c r="P237" s="166"/>
      <c r="Q237" s="166" t="n">
        <f aca="false">R237+S237</f>
        <v>0</v>
      </c>
      <c r="R237" s="166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146</v>
      </c>
      <c r="C238" s="19" t="s">
        <v>20</v>
      </c>
      <c r="D238" s="19"/>
      <c r="E238" s="19" t="s">
        <v>25</v>
      </c>
      <c r="F238" s="22"/>
      <c r="G238" s="146" t="s">
        <v>22</v>
      </c>
      <c r="H238" s="173" t="n">
        <v>12</v>
      </c>
      <c r="I238" s="148" t="n">
        <v>9</v>
      </c>
      <c r="J238" s="148" t="n">
        <v>11</v>
      </c>
      <c r="K238" s="149" t="n">
        <v>13677.7</v>
      </c>
      <c r="L238" s="149" t="n">
        <f aca="false">M238+N238</f>
        <v>10138.98</v>
      </c>
      <c r="M238" s="149" t="n">
        <v>10138.98</v>
      </c>
      <c r="N238" s="190"/>
      <c r="O238" s="206" t="n">
        <v>2</v>
      </c>
      <c r="P238" s="149" t="n">
        <v>15606.38</v>
      </c>
      <c r="Q238" s="149" t="n">
        <f aca="false">R238+S238</f>
        <v>15606.38</v>
      </c>
      <c r="R238" s="149" t="n">
        <v>15606.38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42" t="s">
        <v>219</v>
      </c>
      <c r="G239" s="164" t="s">
        <v>26</v>
      </c>
      <c r="H239" s="178" t="n">
        <v>3</v>
      </c>
      <c r="I239" s="165" t="n">
        <v>1</v>
      </c>
      <c r="J239" s="165" t="n">
        <v>1</v>
      </c>
      <c r="K239" s="166" t="n">
        <v>1585.8</v>
      </c>
      <c r="L239" s="166" t="n">
        <f aca="false">M239+N239</f>
        <v>1585.8</v>
      </c>
      <c r="M239" s="166" t="n">
        <f aca="false">1585.8</f>
        <v>1585.8</v>
      </c>
      <c r="N239" s="167"/>
      <c r="O239" s="238" t="n">
        <v>1</v>
      </c>
      <c r="P239" s="166" t="n">
        <v>1585.8</v>
      </c>
      <c r="Q239" s="166" t="n">
        <f aca="false">R239+S239</f>
        <v>1585.8</v>
      </c>
      <c r="R239" s="166" t="n">
        <v>1585.8</v>
      </c>
      <c r="S239" s="167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17"/>
      <c r="B240" s="18" t="s">
        <v>289</v>
      </c>
      <c r="C240" s="19"/>
      <c r="D240" s="19"/>
      <c r="E240" s="19"/>
      <c r="F240" s="20"/>
      <c r="G240" s="146" t="s">
        <v>22</v>
      </c>
      <c r="H240" s="173" t="n">
        <v>5</v>
      </c>
      <c r="I240" s="148" t="n">
        <v>4</v>
      </c>
      <c r="J240" s="148" t="n">
        <v>7</v>
      </c>
      <c r="K240" s="149" t="n">
        <v>7648.67</v>
      </c>
      <c r="L240" s="149" t="n">
        <f aca="false">M240+N240</f>
        <v>2643</v>
      </c>
      <c r="M240" s="149" t="n">
        <v>2643</v>
      </c>
      <c r="N240" s="224"/>
      <c r="O240" s="151"/>
      <c r="P240" s="149"/>
      <c r="Q240" s="149" t="n">
        <f aca="false">R240+S240</f>
        <v>0</v>
      </c>
      <c r="R240" s="149"/>
      <c r="S240" s="15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57"/>
      <c r="G241" s="152" t="s">
        <v>23</v>
      </c>
      <c r="H241" s="174" t="n">
        <v>2</v>
      </c>
      <c r="I241" s="154" t="n">
        <v>1</v>
      </c>
      <c r="J241" s="154" t="n">
        <v>1</v>
      </c>
      <c r="K241" s="155" t="n">
        <v>2325.84</v>
      </c>
      <c r="L241" s="155" t="n">
        <v>2325.84</v>
      </c>
      <c r="M241" s="155" t="n">
        <v>2325.84</v>
      </c>
      <c r="N241" s="226"/>
      <c r="O241" s="157"/>
      <c r="P241" s="155"/>
      <c r="Q241" s="155" t="n">
        <f aca="false">R241+S241</f>
        <v>0</v>
      </c>
      <c r="R241" s="155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54"/>
      <c r="B242" s="55" t="s">
        <v>147</v>
      </c>
      <c r="C242" s="56" t="s">
        <v>20</v>
      </c>
      <c r="D242" s="56"/>
      <c r="E242" s="56" t="s">
        <v>25</v>
      </c>
      <c r="F242" s="97"/>
      <c r="G242" s="158" t="s">
        <v>22</v>
      </c>
      <c r="H242" s="159" t="n">
        <v>4</v>
      </c>
      <c r="I242" s="160" t="n">
        <v>3</v>
      </c>
      <c r="J242" s="160" t="n">
        <v>3</v>
      </c>
      <c r="K242" s="161" t="n">
        <v>2093.26</v>
      </c>
      <c r="L242" s="161" t="n">
        <f aca="false">M242+N242</f>
        <v>2093.26</v>
      </c>
      <c r="M242" s="161" t="n">
        <v>2093.26</v>
      </c>
      <c r="N242" s="190"/>
      <c r="O242" s="163" t="n">
        <v>4</v>
      </c>
      <c r="P242" s="161" t="n">
        <v>16436.74</v>
      </c>
      <c r="Q242" s="161" t="n">
        <f aca="false">R242+S242</f>
        <v>16436.74</v>
      </c>
      <c r="R242" s="161" t="n">
        <v>16436.74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54"/>
      <c r="B243" s="55"/>
      <c r="C243" s="55"/>
      <c r="D243" s="55"/>
      <c r="E243" s="55"/>
      <c r="F243" s="42" t="s">
        <v>220</v>
      </c>
      <c r="G243" s="164" t="s">
        <v>26</v>
      </c>
      <c r="H243" s="172" t="n">
        <v>12</v>
      </c>
      <c r="I243" s="165" t="n">
        <v>2</v>
      </c>
      <c r="J243" s="165" t="n">
        <v>3</v>
      </c>
      <c r="K243" s="166" t="n">
        <v>9162.4</v>
      </c>
      <c r="L243" s="189" t="n">
        <f aca="false">M243+N243</f>
        <v>4228.8</v>
      </c>
      <c r="M243" s="166" t="n">
        <f aca="false">528.6+3700.2</f>
        <v>4228.8</v>
      </c>
      <c r="N243" s="167"/>
      <c r="O243" s="168" t="n">
        <v>5</v>
      </c>
      <c r="P243" s="166" t="n">
        <v>18677.2</v>
      </c>
      <c r="Q243" s="189" t="n">
        <f aca="false">R243+S243</f>
        <v>18677.2</v>
      </c>
      <c r="R243" s="166" t="n">
        <f aca="false">7048+528.6+5638.4+5462.2</f>
        <v>18677.2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17"/>
      <c r="B244" s="18" t="s">
        <v>297</v>
      </c>
      <c r="C244" s="19"/>
      <c r="D244" s="19"/>
      <c r="E244" s="19" t="s">
        <v>25</v>
      </c>
      <c r="F244" s="22"/>
      <c r="G244" s="146" t="s">
        <v>22</v>
      </c>
      <c r="H244" s="173" t="n">
        <v>3</v>
      </c>
      <c r="I244" s="148"/>
      <c r="J244" s="148"/>
      <c r="K244" s="149"/>
      <c r="L244" s="149" t="n">
        <f aca="false">M244+N244</f>
        <v>0</v>
      </c>
      <c r="M244" s="149"/>
      <c r="N244" s="150"/>
      <c r="O244" s="206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17"/>
      <c r="B245" s="18"/>
      <c r="C245" s="18"/>
      <c r="D245" s="18"/>
      <c r="E245" s="18"/>
      <c r="F245" s="26"/>
      <c r="G245" s="152" t="s">
        <v>26</v>
      </c>
      <c r="H245" s="174"/>
      <c r="I245" s="154"/>
      <c r="J245" s="154"/>
      <c r="K245" s="155"/>
      <c r="L245" s="155" t="n">
        <f aca="false">M245+N245</f>
        <v>0</v>
      </c>
      <c r="M245" s="155"/>
      <c r="N245" s="156"/>
      <c r="O245" s="209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54"/>
      <c r="B246" s="55" t="s">
        <v>148</v>
      </c>
      <c r="C246" s="56" t="s">
        <v>20</v>
      </c>
      <c r="D246" s="56"/>
      <c r="E246" s="56" t="s">
        <v>21</v>
      </c>
      <c r="F246" s="38"/>
      <c r="G246" s="158" t="s">
        <v>22</v>
      </c>
      <c r="H246" s="159" t="n">
        <v>2</v>
      </c>
      <c r="I246" s="160" t="n">
        <v>1</v>
      </c>
      <c r="J246" s="160" t="n">
        <v>1</v>
      </c>
      <c r="K246" s="161" t="n">
        <v>436.1</v>
      </c>
      <c r="L246" s="161" t="n">
        <f aca="false">M246+N246</f>
        <v>436.1</v>
      </c>
      <c r="M246" s="161" t="n">
        <v>436.1</v>
      </c>
      <c r="N246" s="190"/>
      <c r="O246" s="163" t="n">
        <v>1</v>
      </c>
      <c r="P246" s="161" t="n">
        <v>13232.99</v>
      </c>
      <c r="Q246" s="161" t="n">
        <f aca="false">R246+S246</f>
        <v>13232.99</v>
      </c>
      <c r="R246" s="161" t="n">
        <v>13232.99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55"/>
      <c r="C247" s="55"/>
      <c r="D247" s="55"/>
      <c r="E247" s="55"/>
      <c r="F247" s="26" t="s">
        <v>248</v>
      </c>
      <c r="G247" s="152" t="s">
        <v>23</v>
      </c>
      <c r="H247" s="171" t="n">
        <v>2</v>
      </c>
      <c r="I247" s="154"/>
      <c r="J247" s="154"/>
      <c r="K247" s="155"/>
      <c r="L247" s="155" t="n">
        <f aca="false">M247+N247</f>
        <v>0</v>
      </c>
      <c r="M247" s="155"/>
      <c r="N247" s="156"/>
      <c r="O247" s="157" t="n">
        <v>1</v>
      </c>
      <c r="P247" s="155" t="n">
        <v>572.65</v>
      </c>
      <c r="Q247" s="155" t="n">
        <v>572.65</v>
      </c>
      <c r="R247" s="155" t="n">
        <v>572.65</v>
      </c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.75" hidden="false" customHeight="true" outlineLevel="0" collapsed="false">
      <c r="A248" s="99"/>
      <c r="B248" s="100" t="s">
        <v>149</v>
      </c>
      <c r="C248" s="100"/>
      <c r="D248" s="100"/>
      <c r="E248" s="100"/>
      <c r="F248" s="100"/>
      <c r="G248" s="212"/>
      <c r="H248" s="213" t="n">
        <f aca="false">SUM(H9:H247)</f>
        <v>1929</v>
      </c>
      <c r="I248" s="214" t="n">
        <f aca="false">SUM(I9:I247)</f>
        <v>1192</v>
      </c>
      <c r="J248" s="214" t="n">
        <f aca="false">SUM(J9:J247)</f>
        <v>1396</v>
      </c>
      <c r="K248" s="215" t="n">
        <f aca="false">SUM(K9:K247)</f>
        <v>2294964.33</v>
      </c>
      <c r="L248" s="215" t="n">
        <f aca="false">SUM(L9:L247)</f>
        <v>1604264.91</v>
      </c>
      <c r="M248" s="215" t="n">
        <f aca="false">SUM(M9:M247)</f>
        <v>1416076.27</v>
      </c>
      <c r="N248" s="243" t="n">
        <f aca="false">SUM(N9:N247)</f>
        <v>192417.44</v>
      </c>
      <c r="O248" s="244" t="n">
        <f aca="false">SUM(O9:O247)</f>
        <v>1084</v>
      </c>
      <c r="P248" s="245" t="n">
        <f aca="false">SUM(P9:P247)</f>
        <v>3726282.56</v>
      </c>
      <c r="Q248" s="245" t="n">
        <f aca="false">SUM(Q9:Q247)</f>
        <v>3194638.34</v>
      </c>
      <c r="R248" s="245" t="n">
        <f aca="false">SUM(R9:R247)</f>
        <v>2871746.61</v>
      </c>
      <c r="S248" s="246" t="n">
        <f aca="false">SUM(S9:S247)</f>
        <v>322891.73</v>
      </c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 t="s">
        <v>290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true" outlineLevel="0" collapsed="false">
      <c r="A252" s="2"/>
      <c r="B252" s="2"/>
      <c r="C252" s="2"/>
      <c r="D252" s="2"/>
      <c r="E252" s="2"/>
      <c r="F252" s="103"/>
      <c r="G252" s="104" t="s">
        <v>5</v>
      </c>
      <c r="H252" s="104"/>
      <c r="I252" s="104"/>
      <c r="J252" s="104"/>
      <c r="K252" s="104"/>
      <c r="L252" s="104"/>
      <c r="M252" s="104"/>
      <c r="N252" s="104" t="s">
        <v>6</v>
      </c>
      <c r="O252" s="104"/>
      <c r="P252" s="104"/>
      <c r="Q252" s="104"/>
      <c r="R252" s="104"/>
      <c r="S252" s="105" t="s">
        <v>150</v>
      </c>
      <c r="T252" s="105" t="s">
        <v>253</v>
      </c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103"/>
      <c r="G253" s="106" t="s">
        <v>13</v>
      </c>
      <c r="H253" s="106" t="s">
        <v>14</v>
      </c>
      <c r="I253" s="106" t="s">
        <v>15</v>
      </c>
      <c r="J253" s="106" t="s">
        <v>226</v>
      </c>
      <c r="K253" s="106" t="s">
        <v>16</v>
      </c>
      <c r="L253" s="106" t="s">
        <v>17</v>
      </c>
      <c r="M253" s="106" t="s">
        <v>18</v>
      </c>
      <c r="N253" s="106" t="s">
        <v>15</v>
      </c>
      <c r="O253" s="106" t="s">
        <v>226</v>
      </c>
      <c r="P253" s="106" t="s">
        <v>16</v>
      </c>
      <c r="Q253" s="106" t="s">
        <v>17</v>
      </c>
      <c r="R253" s="106" t="s">
        <v>18</v>
      </c>
      <c r="S253" s="105"/>
      <c r="T253" s="105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107" t="s">
        <v>22</v>
      </c>
      <c r="G254" s="108" t="n">
        <f aca="false">SUMIF($G$9:$G$247,$F$254,H9:H247)</f>
        <v>1292</v>
      </c>
      <c r="H254" s="108" t="n">
        <f aca="false">SUMIF($G$9:$G$247,$F$254,I9:I247)</f>
        <v>904</v>
      </c>
      <c r="I254" s="108" t="n">
        <f aca="false">SUMIF($G$9:$G$247,$F$254,J9:J247)</f>
        <v>1104</v>
      </c>
      <c r="J254" s="110" t="n">
        <f aca="false">SUMIF($G$9:$G$247,F254,$K$9:$K$247)</f>
        <v>1836372.3</v>
      </c>
      <c r="K254" s="110" t="n">
        <f aca="false">SUMIF($G$9:$G$247,$F$254,L9:L247)</f>
        <v>1290039.87</v>
      </c>
      <c r="L254" s="110" t="n">
        <f aca="false">SUMIF($G$9:$G$247,$F$254,M9:M247)</f>
        <v>1161828.62</v>
      </c>
      <c r="M254" s="110" t="n">
        <f aca="false">SUMIF($G$9:$G$247,$F$254,N9:N247)</f>
        <v>128211.25</v>
      </c>
      <c r="N254" s="108" t="n">
        <f aca="false">SUMIF($G$9:$G$247,$F$254,O9:O247)</f>
        <v>719</v>
      </c>
      <c r="O254" s="110" t="n">
        <f aca="false">SUMIF($G$9:$G$247,F254,$P$9:$P$247)</f>
        <v>2950798.03</v>
      </c>
      <c r="P254" s="110" t="n">
        <f aca="false">SUMIF($G$9:$G$247,$F$254,Q9:Q247)</f>
        <v>2372040.77</v>
      </c>
      <c r="Q254" s="110" t="n">
        <f aca="false">SUMIF($G$9:$G$247,$F$254,R9:R247)</f>
        <v>2215256.28</v>
      </c>
      <c r="R254" s="110" t="n">
        <f aca="false">SUMIF($G$9:$G$247,$F$254,S9:S247)</f>
        <v>156784.49</v>
      </c>
      <c r="S254" s="110" t="n">
        <f aca="false">Q254+L254</f>
        <v>3377084.9</v>
      </c>
      <c r="T254" s="111" t="n">
        <f aca="false">J254-L254+O254-Q254</f>
        <v>1410085.43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7" t="s">
        <v>26</v>
      </c>
      <c r="G255" s="108" t="n">
        <f aca="false">SUMIF($G$9:$G$247,$F$255,H9:H247)</f>
        <v>406</v>
      </c>
      <c r="H255" s="108" t="n">
        <v>20</v>
      </c>
      <c r="I255" s="108" t="n">
        <f aca="false">SUMIF($G$9:$G$247,$F$255,J9:J247)</f>
        <v>160</v>
      </c>
      <c r="J255" s="110" t="n">
        <f aca="false">SUMIF($G$9:$G$247,F255,$K$9:$K$247)</f>
        <v>307967.68</v>
      </c>
      <c r="K255" s="110" t="n">
        <f aca="false">SUMIF($G$9:$G$247,$F$255,L9:L247)</f>
        <v>234136.23</v>
      </c>
      <c r="L255" s="110" t="n">
        <f aca="false">SUMIF($G$9:$G$247,$F$255,M9:M247)</f>
        <v>174158.84</v>
      </c>
      <c r="M255" s="110" t="n">
        <f aca="false">SUMIF($G$9:$G$247,$F$255,N9:N247)</f>
        <v>64206.19</v>
      </c>
      <c r="N255" s="108" t="n">
        <f aca="false">SUMIF($G$9:$G$247,$F$255,O9:O247)</f>
        <v>247</v>
      </c>
      <c r="O255" s="110" t="n">
        <f aca="false">SUMIF($G$9:$G$247,F255,$P$9:$P$247)</f>
        <v>548193.01</v>
      </c>
      <c r="P255" s="110" t="n">
        <f aca="false">SUMIF($G$9:$G$247,$F$255,Q9:Q247)</f>
        <v>675420.4</v>
      </c>
      <c r="Q255" s="110" t="n">
        <f aca="false">SUMIF($G$9:$G$247,$F$255,R9:R247)</f>
        <v>509313.16</v>
      </c>
      <c r="R255" s="110" t="n">
        <f aca="false">SUMIF($G$9:$G$247,$F$255,S9:S247)</f>
        <v>166107.24</v>
      </c>
      <c r="S255" s="110" t="n">
        <f aca="false">Q255+L255</f>
        <v>683472</v>
      </c>
      <c r="T255" s="111" t="n">
        <f aca="false">J255-L255+O255-Q255</f>
        <v>172688.69</v>
      </c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23</v>
      </c>
      <c r="G256" s="108" t="n">
        <f aca="false">SUMIF($G$9:$G$247,$F$256,H9:H247)</f>
        <v>231</v>
      </c>
      <c r="H256" s="108" t="n">
        <f aca="false">SUMIF($G$9:$G$247,$F$256,I9:I247)</f>
        <v>132</v>
      </c>
      <c r="I256" s="108" t="n">
        <f aca="false">SUMIF($G$9:$G$247,$F$256,J9:J247)</f>
        <v>132</v>
      </c>
      <c r="J256" s="110" t="n">
        <f aca="false">SUMIF($G$9:$G$247,F256,$K$9:$K$247)</f>
        <v>150624.35</v>
      </c>
      <c r="K256" s="110" t="n">
        <f aca="false">SUMIF($G$9:$G$247,$F$256,L9:L247)</f>
        <v>80088.81</v>
      </c>
      <c r="L256" s="110" t="n">
        <f aca="false">SUMIF($G$9:$G$247,$F$256,M9:M247)</f>
        <v>80088.81</v>
      </c>
      <c r="M256" s="110" t="n">
        <f aca="false">SUMIF($G$9:$G$247,$F$256,N9:N247)</f>
        <v>0</v>
      </c>
      <c r="N256" s="108" t="n">
        <f aca="false">SUMIF($G$9:$G$247,$F$256,O9:O247)</f>
        <v>118</v>
      </c>
      <c r="O256" s="110" t="n">
        <f aca="false">SUMIF($G$9:$G$247,F256,$P$9:$P$247)</f>
        <v>227291.52</v>
      </c>
      <c r="P256" s="110" t="n">
        <f aca="false">SUMIF($G$9:$G$247,$F$256,Q9:Q247)</f>
        <v>147177.17</v>
      </c>
      <c r="Q256" s="110" t="n">
        <f aca="false">SUMIF($G$9:$G$247,$F$256,R9:R247)</f>
        <v>147177.17</v>
      </c>
      <c r="R256" s="110" t="n">
        <f aca="false">SUMIF($G$9:$G$247,$F$256,S9:S247)</f>
        <v>0</v>
      </c>
      <c r="S256" s="110" t="n">
        <f aca="false">Q256+L256</f>
        <v>227265.98</v>
      </c>
      <c r="T256" s="111" t="n">
        <f aca="false">J256-L256+O256-Q256</f>
        <v>150649.89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16" t="n">
        <f aca="false">G256+G255+G254</f>
        <v>1929</v>
      </c>
      <c r="H257" s="216" t="n">
        <f aca="false">H256+H255+H254</f>
        <v>1056</v>
      </c>
      <c r="I257" s="216" t="n">
        <f aca="false">I256+I255+I254</f>
        <v>1396</v>
      </c>
      <c r="J257" s="217" t="n">
        <f aca="false">J256+J255+J254</f>
        <v>2294964.33</v>
      </c>
      <c r="K257" s="217" t="n">
        <f aca="false">K256+K255+K254</f>
        <v>1604264.91</v>
      </c>
      <c r="L257" s="217" t="n">
        <f aca="false">L256+L255+L254</f>
        <v>1416076.27</v>
      </c>
      <c r="M257" s="217" t="n">
        <f aca="false">M256+M255+M254</f>
        <v>192417.44</v>
      </c>
      <c r="N257" s="216" t="n">
        <f aca="false">N256+N255+N254</f>
        <v>1084</v>
      </c>
      <c r="O257" s="217" t="n">
        <f aca="false">O256+O255+O254</f>
        <v>3726282.56</v>
      </c>
      <c r="P257" s="217" t="n">
        <f aca="false">P256+P255+P254</f>
        <v>3194638.34</v>
      </c>
      <c r="Q257" s="217" t="n">
        <f aca="false">Q256+Q255+Q254</f>
        <v>2871746.61</v>
      </c>
      <c r="R257" s="217" t="n">
        <f aca="false">R256+R255+R254</f>
        <v>322891.73</v>
      </c>
      <c r="S257" s="217" t="n">
        <f aca="false">S256+S255+S254</f>
        <v>4287822.88</v>
      </c>
      <c r="T257" s="217" t="n">
        <f aca="false">T256+T255+T254</f>
        <v>1733424.01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F318" s="0" t="s">
        <v>22</v>
      </c>
      <c r="G318" s="0" t="n">
        <v>1292</v>
      </c>
      <c r="H318" s="247" t="n">
        <v>904</v>
      </c>
      <c r="I318" s="247" t="n">
        <v>1104</v>
      </c>
      <c r="J318" s="0" t="n">
        <v>1836372.3</v>
      </c>
      <c r="K318" s="236"/>
      <c r="L318" s="0" t="n">
        <v>719</v>
      </c>
      <c r="M318" s="0" t="n">
        <v>2950798.03</v>
      </c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</sheetData>
  <mergeCells count="59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9"/>
    <mergeCell ref="B177:B179"/>
    <mergeCell ref="C177:C179"/>
    <mergeCell ref="D177:D179"/>
    <mergeCell ref="E177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B186:B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F252:F253"/>
    <mergeCell ref="G252:M252"/>
    <mergeCell ref="N252:R252"/>
    <mergeCell ref="S252:S253"/>
    <mergeCell ref="T252:T25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9" min="21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24</v>
      </c>
      <c r="I11" s="160" t="n">
        <v>17</v>
      </c>
      <c r="J11" s="160" t="n">
        <v>29</v>
      </c>
      <c r="K11" s="161" t="n">
        <v>58793.86</v>
      </c>
      <c r="L11" s="161" t="n">
        <f aca="false">M11+N11</f>
        <v>58793.86</v>
      </c>
      <c r="M11" s="161" t="n">
        <v>58793.86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5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26</v>
      </c>
      <c r="I13" s="148" t="n">
        <v>23</v>
      </c>
      <c r="J13" s="148" t="n">
        <v>34</v>
      </c>
      <c r="K13" s="149" t="n">
        <v>47749.23</v>
      </c>
      <c r="L13" s="149" t="n">
        <f aca="false">M13+N13</f>
        <v>47749.23</v>
      </c>
      <c r="M13" s="149" t="n">
        <v>38950.58</v>
      </c>
      <c r="N13" s="249" t="n">
        <v>8798.65</v>
      </c>
      <c r="O13" s="228" t="n">
        <v>6</v>
      </c>
      <c r="P13" s="161" t="n">
        <v>14938.98</v>
      </c>
      <c r="Q13" s="161" t="n">
        <f aca="false">R13+S13</f>
        <v>14938.98</v>
      </c>
      <c r="R13" s="161" t="n">
        <v>14423.5</v>
      </c>
      <c r="S13" s="190" t="n">
        <v>515.48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5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11593.96</v>
      </c>
      <c r="M14" s="155" t="n">
        <f aca="false">1938.2+5638.4</f>
        <v>7576.6</v>
      </c>
      <c r="N14" s="156" t="n">
        <f aca="false">4017.36</f>
        <v>4017.36</v>
      </c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7224.2</v>
      </c>
      <c r="R15" s="149" t="n">
        <v>7224.2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19515.9</v>
      </c>
      <c r="Q16" s="166" t="n">
        <f aca="false">R16+S16</f>
        <v>23434.6</v>
      </c>
      <c r="R16" s="166" t="n">
        <f aca="false">10924.4+4933.6</f>
        <v>15858</v>
      </c>
      <c r="S16" s="167" t="n">
        <f aca="false">7576.6</f>
        <v>7576.6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/>
      <c r="S17" s="150" t="n">
        <v>54835.07</v>
      </c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7</v>
      </c>
      <c r="I19" s="160" t="n">
        <v>5</v>
      </c>
      <c r="J19" s="160" t="n">
        <v>6</v>
      </c>
      <c r="K19" s="161" t="n">
        <v>7035.06</v>
      </c>
      <c r="L19" s="161" t="n">
        <f aca="false">M19+N19</f>
        <v>7035.06</v>
      </c>
      <c r="M19" s="161"/>
      <c r="N19" s="239" t="n">
        <v>7035.06</v>
      </c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3</v>
      </c>
      <c r="J20" s="154" t="n">
        <v>3</v>
      </c>
      <c r="K20" s="155" t="n">
        <v>2828.1</v>
      </c>
      <c r="L20" s="155" t="n">
        <f aca="false">M20+N20</f>
        <v>1363.4</v>
      </c>
      <c r="M20" s="155" t="n">
        <f aca="false">704.8</f>
        <v>704.8</v>
      </c>
      <c r="N20" s="226" t="n">
        <v>658.6</v>
      </c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14</v>
      </c>
      <c r="J21" s="160" t="n">
        <v>16</v>
      </c>
      <c r="K21" s="161" t="n">
        <v>21199.65</v>
      </c>
      <c r="L21" s="161" t="n">
        <f aca="false">M21+N21</f>
        <v>14830.79</v>
      </c>
      <c r="M21" s="161" t="n">
        <v>13377.14</v>
      </c>
      <c r="N21" s="190" t="n">
        <v>1453.65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36873.8</v>
      </c>
      <c r="S21" s="190" t="n">
        <v>6706.42</v>
      </c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0</v>
      </c>
      <c r="M22" s="155"/>
      <c r="N22" s="156"/>
      <c r="O22" s="157" t="n">
        <v>4</v>
      </c>
      <c r="P22" s="155"/>
      <c r="Q22" s="155" t="n">
        <f aca="false">R22+S22</f>
        <v>4052.6</v>
      </c>
      <c r="R22" s="155"/>
      <c r="S22" s="167" t="n">
        <f aca="false">4052.6</f>
        <v>4052.6</v>
      </c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23</v>
      </c>
      <c r="J23" s="160" t="n">
        <v>37</v>
      </c>
      <c r="K23" s="161" t="n">
        <v>50485.39</v>
      </c>
      <c r="L23" s="161" t="n">
        <f aca="false">M23+N23</f>
        <v>36599.36</v>
      </c>
      <c r="M23" s="161" t="n">
        <v>28289.78</v>
      </c>
      <c r="N23" s="190" t="n">
        <v>8309.58</v>
      </c>
      <c r="O23" s="151" t="n">
        <v>24</v>
      </c>
      <c r="P23" s="149" t="n">
        <v>51971.06</v>
      </c>
      <c r="Q23" s="149" t="n">
        <f aca="false">R23+S23</f>
        <v>47120.13</v>
      </c>
      <c r="R23" s="149" t="n">
        <v>34926.57</v>
      </c>
      <c r="S23" s="198" t="n">
        <v>12193.56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23</v>
      </c>
      <c r="I25" s="148" t="n">
        <v>19</v>
      </c>
      <c r="J25" s="148" t="n">
        <v>19</v>
      </c>
      <c r="K25" s="148" t="n">
        <v>7775.37</v>
      </c>
      <c r="L25" s="149" t="n">
        <f aca="false">M25+N25</f>
        <v>6570.82</v>
      </c>
      <c r="M25" s="149" t="n">
        <v>4140.7</v>
      </c>
      <c r="N25" s="190" t="n">
        <v>2430.12</v>
      </c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5</v>
      </c>
      <c r="J26" s="154" t="n">
        <v>5</v>
      </c>
      <c r="K26" s="155" t="n">
        <v>8773.6</v>
      </c>
      <c r="L26" s="155" t="n">
        <f aca="false">M26+N26</f>
        <v>5483.5</v>
      </c>
      <c r="M26" s="155"/>
      <c r="N26" s="156" t="n">
        <f aca="false">5483.5</f>
        <v>5483.5</v>
      </c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25</v>
      </c>
      <c r="I27" s="160" t="n">
        <v>24</v>
      </c>
      <c r="J27" s="160" t="n">
        <v>37</v>
      </c>
      <c r="K27" s="161" t="n">
        <v>68607.98</v>
      </c>
      <c r="L27" s="161" t="n">
        <f aca="false">M27+N27</f>
        <v>68607.98</v>
      </c>
      <c r="M27" s="161" t="n">
        <v>43954.53</v>
      </c>
      <c r="N27" s="190" t="n">
        <v>24653.45</v>
      </c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7</v>
      </c>
      <c r="I28" s="165" t="n">
        <v>4</v>
      </c>
      <c r="J28" s="165" t="n">
        <v>4</v>
      </c>
      <c r="K28" s="166" t="n">
        <v>3126.95</v>
      </c>
      <c r="L28" s="166" t="n">
        <f aca="false">M28+N28</f>
        <v>3126.95</v>
      </c>
      <c r="M28" s="166" t="n">
        <f aca="false">1409.6</f>
        <v>1409.6</v>
      </c>
      <c r="N28" s="156" t="n">
        <v>1717.35</v>
      </c>
      <c r="O28" s="157" t="n">
        <v>13</v>
      </c>
      <c r="P28" s="155" t="n">
        <v>28368.2</v>
      </c>
      <c r="Q28" s="155" t="n">
        <f aca="false">R28+S28</f>
        <v>35550.2</v>
      </c>
      <c r="R28" s="155" t="n">
        <f aca="false">2995.4+14272.2+11100.6</f>
        <v>28368.2</v>
      </c>
      <c r="S28" s="156" t="n">
        <f aca="false">4581.2+2600.8</f>
        <v>7182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19381.4</v>
      </c>
      <c r="Q30" s="166" t="n">
        <f aca="false">R30+S30</f>
        <v>44754.9</v>
      </c>
      <c r="R30" s="166" t="n">
        <f aca="false">5286+2290.6-23.95+9715.05</f>
        <v>17267.7</v>
      </c>
      <c r="S30" s="167" t="n">
        <f aca="false">27487.2</f>
        <v>27487.2</v>
      </c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3</v>
      </c>
      <c r="J34" s="165" t="n">
        <v>3</v>
      </c>
      <c r="K34" s="166" t="n">
        <v>8105.2</v>
      </c>
      <c r="L34" s="166" t="n">
        <v>2114.4</v>
      </c>
      <c r="M34" s="166" t="n">
        <v>2114.4</v>
      </c>
      <c r="N34" s="167" t="n">
        <v>1233.4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/>
      <c r="J35" s="148"/>
      <c r="K35" s="149"/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16153.14</v>
      </c>
      <c r="M37" s="161" t="n">
        <v>16153.14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8</v>
      </c>
      <c r="I38" s="154" t="n">
        <v>6</v>
      </c>
      <c r="J38" s="154" t="n">
        <v>6</v>
      </c>
      <c r="K38" s="155" t="n">
        <v>10577.5</v>
      </c>
      <c r="L38" s="155" t="n">
        <f aca="false">M38+N38</f>
        <v>9196.75</v>
      </c>
      <c r="M38" s="155" t="n">
        <f aca="false">704.8+4405</f>
        <v>5109.8</v>
      </c>
      <c r="N38" s="156" t="n">
        <f aca="false">4086.95</f>
        <v>4086.95</v>
      </c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14</v>
      </c>
      <c r="J41" s="160" t="n">
        <v>20</v>
      </c>
      <c r="K41" s="161" t="n">
        <v>38560.9</v>
      </c>
      <c r="L41" s="161" t="n">
        <f aca="false">M41+N41</f>
        <v>18145.63</v>
      </c>
      <c r="M41" s="161" t="n">
        <v>18145.63</v>
      </c>
      <c r="N41" s="190"/>
      <c r="O41" s="151" t="n">
        <v>13</v>
      </c>
      <c r="P41" s="149" t="n">
        <v>118843.98</v>
      </c>
      <c r="Q41" s="149" t="n">
        <f aca="false">R41+S41</f>
        <v>39637.95</v>
      </c>
      <c r="R41" s="149" t="n">
        <v>39637.95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16</v>
      </c>
      <c r="I43" s="160" t="n">
        <v>11</v>
      </c>
      <c r="J43" s="160" t="n">
        <v>15</v>
      </c>
      <c r="K43" s="161" t="n">
        <v>36053.18</v>
      </c>
      <c r="L43" s="161" t="n">
        <f aca="false">M43+N43</f>
        <v>27872.38</v>
      </c>
      <c r="M43" s="161" t="n">
        <v>27872.38</v>
      </c>
      <c r="N43" s="190"/>
      <c r="O43" s="151" t="n">
        <v>16</v>
      </c>
      <c r="P43" s="149" t="n">
        <v>56737.45</v>
      </c>
      <c r="Q43" s="149" t="n">
        <f aca="false">R43+S43</f>
        <v>55419.47</v>
      </c>
      <c r="R43" s="149" t="n">
        <v>55419.47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2119.69</v>
      </c>
      <c r="N45" s="190" t="n">
        <v>7097.31</v>
      </c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5</v>
      </c>
      <c r="P46" s="166" t="n">
        <v>13945.3</v>
      </c>
      <c r="Q46" s="166" t="n">
        <f aca="false">R46+S46</f>
        <v>15452.4</v>
      </c>
      <c r="R46" s="166" t="n">
        <f aca="false">10849.9</f>
        <v>10849.9</v>
      </c>
      <c r="S46" s="167" t="n">
        <v>4602.5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3</v>
      </c>
      <c r="I47" s="148" t="n">
        <v>1</v>
      </c>
      <c r="J47" s="148" t="n">
        <v>1</v>
      </c>
      <c r="K47" s="149" t="n">
        <v>352.4</v>
      </c>
      <c r="L47" s="149" t="n">
        <f aca="false">M47+N47</f>
        <v>0</v>
      </c>
      <c r="M47" s="149"/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4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f aca="false">1233.4</f>
        <v>1233.4</v>
      </c>
      <c r="N48" s="156"/>
      <c r="O48" s="157" t="n">
        <v>4</v>
      </c>
      <c r="P48" s="155" t="n">
        <v>13567.4</v>
      </c>
      <c r="Q48" s="155" t="n">
        <f aca="false">R48+S48</f>
        <v>13567.4</v>
      </c>
      <c r="R48" s="155" t="n">
        <f aca="false">528.6+11453+1585.8</f>
        <v>13567.4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5976.7</v>
      </c>
      <c r="M51" s="161" t="n">
        <v>5976.7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53</v>
      </c>
      <c r="I53" s="148" t="n">
        <v>48</v>
      </c>
      <c r="J53" s="148" t="n">
        <v>49</v>
      </c>
      <c r="K53" s="149" t="n">
        <v>51553.98</v>
      </c>
      <c r="L53" s="149" t="n">
        <f aca="false">M53+N53</f>
        <v>39470.47</v>
      </c>
      <c r="M53" s="149" t="n">
        <v>39470.47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9510</v>
      </c>
      <c r="M54" s="155" t="n">
        <f aca="false">1409.6</f>
        <v>1409.6</v>
      </c>
      <c r="N54" s="156" t="n">
        <v>8100.4</v>
      </c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26</v>
      </c>
      <c r="I55" s="160" t="n">
        <v>19</v>
      </c>
      <c r="J55" s="160" t="n">
        <v>25</v>
      </c>
      <c r="K55" s="161" t="n">
        <v>49769.75</v>
      </c>
      <c r="L55" s="161" t="n">
        <f aca="false">M55+N55</f>
        <v>28323.14</v>
      </c>
      <c r="M55" s="161" t="n">
        <v>22712.05</v>
      </c>
      <c r="N55" s="190" t="n">
        <v>5611.09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54609.33</v>
      </c>
      <c r="S55" s="198" t="n">
        <v>21032.38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5</v>
      </c>
      <c r="I57" s="160" t="n">
        <v>3</v>
      </c>
      <c r="J57" s="160" t="n">
        <v>3</v>
      </c>
      <c r="K57" s="161" t="n">
        <v>4345.8</v>
      </c>
      <c r="L57" s="161" t="n">
        <f aca="false">M57+N57</f>
        <v>2654.28</v>
      </c>
      <c r="M57" s="161"/>
      <c r="N57" s="190" t="n">
        <v>2654.28</v>
      </c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5</v>
      </c>
      <c r="I58" s="165" t="n">
        <v>1</v>
      </c>
      <c r="J58" s="165" t="n">
        <v>1</v>
      </c>
      <c r="K58" s="166" t="n">
        <v>1057.2</v>
      </c>
      <c r="L58" s="189" t="n">
        <f aca="false">M58+N58</f>
        <v>1057.2</v>
      </c>
      <c r="M58" s="166" t="n">
        <f aca="false">1057.2</f>
        <v>1057.2</v>
      </c>
      <c r="N58" s="167"/>
      <c r="O58" s="168" t="n">
        <v>8</v>
      </c>
      <c r="P58" s="166" t="n">
        <v>18120.69</v>
      </c>
      <c r="Q58" s="189" t="n">
        <f aca="false">R58+S58</f>
        <v>25697.29</v>
      </c>
      <c r="R58" s="166" t="n">
        <f aca="false">1409.6+3672.29+13038.8</f>
        <v>18120.69</v>
      </c>
      <c r="S58" s="167" t="n">
        <f aca="false">7576.6</f>
        <v>7576.6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1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6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4</v>
      </c>
      <c r="I63" s="148" t="n">
        <v>2</v>
      </c>
      <c r="J63" s="148" t="n">
        <v>2</v>
      </c>
      <c r="K63" s="149" t="n">
        <v>881</v>
      </c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7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17</v>
      </c>
      <c r="K65" s="161" t="n">
        <v>33199.65</v>
      </c>
      <c r="L65" s="161" t="n">
        <f aca="false">M65+N65</f>
        <v>33199.65</v>
      </c>
      <c r="M65" s="161" t="n">
        <v>13482.82</v>
      </c>
      <c r="N65" s="190" t="n">
        <v>19716.83</v>
      </c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11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8</v>
      </c>
      <c r="I68" s="154" t="n">
        <v>6</v>
      </c>
      <c r="J68" s="154" t="n">
        <v>6</v>
      </c>
      <c r="K68" s="155" t="n">
        <v>3403.1</v>
      </c>
      <c r="L68" s="155" t="n">
        <f aca="false">M68+N68</f>
        <v>3403.1</v>
      </c>
      <c r="M68" s="155" t="n">
        <v>2114.4</v>
      </c>
      <c r="N68" s="156" t="n">
        <v>1288.7</v>
      </c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12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21739.72</v>
      </c>
      <c r="M69" s="161" t="n">
        <v>16500.69</v>
      </c>
      <c r="N69" s="190" t="n">
        <v>5239.03</v>
      </c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17</v>
      </c>
      <c r="I71" s="148" t="n">
        <v>12</v>
      </c>
      <c r="J71" s="148" t="n">
        <v>13</v>
      </c>
      <c r="K71" s="149" t="n">
        <v>29641.45</v>
      </c>
      <c r="L71" s="149" t="n">
        <f aca="false">M71+N71</f>
        <v>29641.45</v>
      </c>
      <c r="M71" s="149" t="n">
        <v>14798.19</v>
      </c>
      <c r="N71" s="190" t="n">
        <v>14843.26</v>
      </c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28</v>
      </c>
      <c r="I73" s="160" t="n">
        <v>23</v>
      </c>
      <c r="J73" s="160" t="n">
        <v>28</v>
      </c>
      <c r="K73" s="161" t="n">
        <v>73524.55</v>
      </c>
      <c r="L73" s="161" t="n">
        <f aca="false">M73+N73</f>
        <v>48676.65</v>
      </c>
      <c r="M73" s="161" t="n">
        <v>3383.04</v>
      </c>
      <c r="N73" s="190" t="n">
        <v>45293.61</v>
      </c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1012.55</v>
      </c>
      <c r="M74" s="166"/>
      <c r="N74" s="156" t="n">
        <v>1012.55</v>
      </c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/>
      <c r="N76" s="156" t="n">
        <f aca="false">2577.4</f>
        <v>2577.4</v>
      </c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/>
      <c r="P77" s="161"/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9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1046.63</v>
      </c>
      <c r="N79" s="190" t="n">
        <v>2370.4</v>
      </c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13</v>
      </c>
      <c r="I81" s="148" t="n">
        <v>6</v>
      </c>
      <c r="J81" s="148" t="n">
        <v>6</v>
      </c>
      <c r="K81" s="149" t="n">
        <v>24732.4</v>
      </c>
      <c r="L81" s="149" t="n">
        <f aca="false">M81+N81</f>
        <v>5039.32</v>
      </c>
      <c r="M81" s="149" t="n">
        <v>5039.32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25</v>
      </c>
      <c r="I82" s="154" t="n">
        <v>14</v>
      </c>
      <c r="J82" s="154" t="n">
        <v>14</v>
      </c>
      <c r="K82" s="155" t="n">
        <v>17117.62</v>
      </c>
      <c r="L82" s="155" t="n">
        <v>13890.72</v>
      </c>
      <c r="M82" s="155" t="n">
        <v>13890.72</v>
      </c>
      <c r="N82" s="156" t="n">
        <v>1288.7</v>
      </c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5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4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8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/>
      <c r="J86" s="165"/>
      <c r="K86" s="166"/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0</v>
      </c>
      <c r="M87" s="149"/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9</v>
      </c>
      <c r="I89" s="148" t="n">
        <v>6</v>
      </c>
      <c r="J89" s="148" t="n">
        <v>7</v>
      </c>
      <c r="K89" s="149" t="n">
        <v>8723.07</v>
      </c>
      <c r="L89" s="149" t="n">
        <f aca="false">M89+N89</f>
        <v>5752.93</v>
      </c>
      <c r="M89" s="149" t="n">
        <v>5752.93</v>
      </c>
      <c r="N89" s="190"/>
      <c r="O89" s="151" t="n">
        <v>11</v>
      </c>
      <c r="P89" s="149" t="n">
        <v>45595.17</v>
      </c>
      <c r="Q89" s="149" t="n">
        <f aca="false">R89+S89</f>
        <v>43656.97</v>
      </c>
      <c r="R89" s="149" t="n">
        <v>43656.97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31</v>
      </c>
      <c r="J90" s="165" t="n">
        <v>31</v>
      </c>
      <c r="K90" s="166" t="n">
        <v>35751.5</v>
      </c>
      <c r="L90" s="166" t="n">
        <v>18501</v>
      </c>
      <c r="M90" s="166" t="n">
        <v>18501</v>
      </c>
      <c r="N90" s="156" t="n">
        <v>17783.8</v>
      </c>
      <c r="O90" s="168" t="n">
        <v>37</v>
      </c>
      <c r="P90" s="166" t="n">
        <v>71364.22</v>
      </c>
      <c r="Q90" s="166" t="n">
        <v>30232.1</v>
      </c>
      <c r="R90" s="166" t="n">
        <v>30232.1</v>
      </c>
      <c r="S90" s="156" t="n">
        <v>30888.82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7</v>
      </c>
      <c r="I91" s="148" t="n">
        <v>4</v>
      </c>
      <c r="J91" s="148" t="n">
        <v>5</v>
      </c>
      <c r="K91" s="149" t="n">
        <v>5436.82</v>
      </c>
      <c r="L91" s="149" t="n">
        <f aca="false">M91+N91</f>
        <v>2035.11</v>
      </c>
      <c r="M91" s="149" t="n">
        <v>2035.11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8</v>
      </c>
      <c r="I92" s="165" t="n">
        <v>5</v>
      </c>
      <c r="J92" s="165" t="n">
        <v>5</v>
      </c>
      <c r="K92" s="166" t="n">
        <v>8865.3</v>
      </c>
      <c r="L92" s="166" t="n">
        <f aca="false">M92+N92</f>
        <v>7576.63</v>
      </c>
      <c r="M92" s="166" t="n">
        <f aca="false">2290.6+4052.63</f>
        <v>6343.23</v>
      </c>
      <c r="N92" s="156" t="n">
        <f aca="false">1233.4</f>
        <v>1233.4</v>
      </c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7</v>
      </c>
      <c r="I93" s="148" t="n">
        <v>5</v>
      </c>
      <c r="J93" s="148" t="n">
        <v>5</v>
      </c>
      <c r="K93" s="149" t="n">
        <v>11087.86</v>
      </c>
      <c r="L93" s="149" t="n">
        <f aca="false">M93+N93</f>
        <v>11087.86</v>
      </c>
      <c r="M93" s="149" t="n">
        <v>4786.75</v>
      </c>
      <c r="N93" s="190" t="n">
        <v>6301.11</v>
      </c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8</v>
      </c>
      <c r="I94" s="154" t="n">
        <v>5</v>
      </c>
      <c r="J94" s="154" t="n">
        <v>5</v>
      </c>
      <c r="K94" s="235" t="n">
        <v>8501.8</v>
      </c>
      <c r="L94" s="155" t="n">
        <f aca="false">M94+N94</f>
        <v>6096.52</v>
      </c>
      <c r="M94" s="155" t="n">
        <f aca="false">2819.2+3277.32</f>
        <v>6096.52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7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9</v>
      </c>
      <c r="I97" s="160" t="n">
        <v>6</v>
      </c>
      <c r="J97" s="160" t="n">
        <v>6</v>
      </c>
      <c r="K97" s="161" t="n">
        <v>11231.55</v>
      </c>
      <c r="L97" s="161" t="n">
        <f aca="false">M97+N97</f>
        <v>11231.55</v>
      </c>
      <c r="M97" s="161" t="n">
        <v>5486.08</v>
      </c>
      <c r="N97" s="190" t="n">
        <v>5745.47</v>
      </c>
      <c r="O97" s="163" t="n">
        <v>8</v>
      </c>
      <c r="P97" s="161" t="n">
        <v>51100.74</v>
      </c>
      <c r="Q97" s="161" t="n">
        <f aca="false">R97+S97</f>
        <v>51100.74</v>
      </c>
      <c r="R97" s="161" t="n">
        <v>44299.53</v>
      </c>
      <c r="S97" s="190" t="n">
        <v>6801.21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6</v>
      </c>
      <c r="I98" s="165" t="n">
        <v>3</v>
      </c>
      <c r="J98" s="165" t="n">
        <v>3</v>
      </c>
      <c r="K98" s="166" t="n">
        <v>2858.7</v>
      </c>
      <c r="L98" s="161" t="n">
        <f aca="false">M98+N98</f>
        <v>4052.6</v>
      </c>
      <c r="M98" s="166" t="n">
        <v>4052.6</v>
      </c>
      <c r="N98" s="156"/>
      <c r="O98" s="168" t="n">
        <v>4</v>
      </c>
      <c r="P98" s="166" t="n">
        <v>11989.48</v>
      </c>
      <c r="Q98" s="166" t="n">
        <f aca="false">R98+S98</f>
        <v>13222.88</v>
      </c>
      <c r="R98" s="166" t="n">
        <f aca="false">3347.8+8641.68</f>
        <v>11989.48</v>
      </c>
      <c r="S98" s="156" t="n">
        <v>1233.4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6</v>
      </c>
      <c r="I99" s="148" t="n">
        <v>2</v>
      </c>
      <c r="J99" s="148" t="n">
        <v>3</v>
      </c>
      <c r="K99" s="149" t="n">
        <v>4990.89</v>
      </c>
      <c r="L99" s="149" t="n">
        <f aca="false">M99+N99</f>
        <v>7062.57</v>
      </c>
      <c r="M99" s="149" t="n">
        <v>2277.26</v>
      </c>
      <c r="N99" s="190" t="n">
        <v>4785.31</v>
      </c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8454.6</v>
      </c>
      <c r="L100" s="155" t="n">
        <f aca="false">M100+N100</f>
        <v>12686.4</v>
      </c>
      <c r="M100" s="155" t="n">
        <f aca="false">5109.8+7576.6</f>
        <v>12686.4</v>
      </c>
      <c r="N100" s="156"/>
      <c r="O100" s="157" t="n">
        <v>2</v>
      </c>
      <c r="P100" s="155"/>
      <c r="Q100" s="155" t="n">
        <f aca="false">R100+S100</f>
        <v>0</v>
      </c>
      <c r="R100" s="155"/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29</v>
      </c>
      <c r="K101" s="161" t="n">
        <v>54517.89</v>
      </c>
      <c r="L101" s="161" t="n">
        <f aca="false">M101+N101</f>
        <v>22267.64</v>
      </c>
      <c r="M101" s="161" t="n">
        <v>22267.64</v>
      </c>
      <c r="N101" s="190"/>
      <c r="O101" s="163" t="n">
        <v>25</v>
      </c>
      <c r="P101" s="161" t="n">
        <v>141222.34</v>
      </c>
      <c r="Q101" s="161" t="n">
        <f aca="false">R101+S101</f>
        <v>57478.81</v>
      </c>
      <c r="R101" s="161" t="n">
        <v>57478.81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20</v>
      </c>
      <c r="I103" s="148" t="n">
        <v>15</v>
      </c>
      <c r="J103" s="148" t="n">
        <v>15</v>
      </c>
      <c r="K103" s="149" t="n">
        <v>12723.15</v>
      </c>
      <c r="L103" s="149" t="n">
        <f aca="false">M103+N103</f>
        <v>12723.15</v>
      </c>
      <c r="M103" s="149" t="n">
        <v>11302.98</v>
      </c>
      <c r="N103" s="190" t="n">
        <v>1420.17</v>
      </c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8457.6</v>
      </c>
      <c r="Q104" s="166" t="n">
        <f aca="false">R104+S104</f>
        <v>9735.05</v>
      </c>
      <c r="R104" s="165" t="n">
        <f aca="false">6431.3+1057.2</f>
        <v>7488.5</v>
      </c>
      <c r="S104" s="156" t="n">
        <f aca="false">2246.55</f>
        <v>2246.55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10</v>
      </c>
      <c r="J105" s="148" t="n">
        <v>12</v>
      </c>
      <c r="K105" s="149" t="n">
        <v>10404.92</v>
      </c>
      <c r="L105" s="149" t="n">
        <f aca="false">M105+N105</f>
        <v>7482.33</v>
      </c>
      <c r="M105" s="149" t="n">
        <v>4148.63</v>
      </c>
      <c r="N105" s="190" t="n">
        <v>3333.7</v>
      </c>
      <c r="O105" s="151" t="n">
        <v>8</v>
      </c>
      <c r="P105" s="149" t="n">
        <v>47967.55</v>
      </c>
      <c r="Q105" s="149" t="n">
        <f aca="false">R105+S105</f>
        <v>12279.73</v>
      </c>
      <c r="R105" s="149" t="n">
        <v>8651.42</v>
      </c>
      <c r="S105" s="190" t="n">
        <v>3628.31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7400.4</v>
      </c>
      <c r="M106" s="182" t="n">
        <f aca="false">3876.4</f>
        <v>3876.4</v>
      </c>
      <c r="N106" s="167" t="n">
        <f aca="false">3524</f>
        <v>3524</v>
      </c>
      <c r="O106" s="184" t="n">
        <v>10</v>
      </c>
      <c r="P106" s="182" t="n">
        <v>20318.3</v>
      </c>
      <c r="Q106" s="182" t="n">
        <f aca="false">R106+S106</f>
        <v>23258.4</v>
      </c>
      <c r="R106" s="182" t="n">
        <f aca="false">8986.2+7400.4</f>
        <v>16386.6</v>
      </c>
      <c r="S106" s="167" t="n">
        <f aca="false">6871.8</f>
        <v>6871.8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3</v>
      </c>
      <c r="I107" s="154" t="n">
        <v>2</v>
      </c>
      <c r="J107" s="154" t="n">
        <v>2</v>
      </c>
      <c r="K107" s="155" t="n">
        <v>9338.6</v>
      </c>
      <c r="L107" s="155" t="n">
        <v>9338.6</v>
      </c>
      <c r="M107" s="155" t="n">
        <v>9338.6</v>
      </c>
      <c r="N107" s="156"/>
      <c r="O107" s="157" t="n">
        <v>4</v>
      </c>
      <c r="P107" s="155" t="n">
        <v>8281.4</v>
      </c>
      <c r="Q107" s="155" t="n">
        <v>3347.8</v>
      </c>
      <c r="R107" s="155" t="n">
        <v>3347.8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8</v>
      </c>
      <c r="I108" s="160" t="n">
        <v>5</v>
      </c>
      <c r="J108" s="160" t="n">
        <v>6</v>
      </c>
      <c r="K108" s="161" t="n">
        <v>11123.42</v>
      </c>
      <c r="L108" s="161" t="n">
        <f aca="false">M108+N108</f>
        <v>11123.42</v>
      </c>
      <c r="M108" s="161" t="n">
        <v>6509.89</v>
      </c>
      <c r="N108" s="190" t="n">
        <v>4613.53</v>
      </c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32771.12</v>
      </c>
      <c r="S108" s="190" t="n">
        <v>2682.66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8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/>
      <c r="Q111" s="166" t="n">
        <f aca="false">R111+S111</f>
        <v>5638.4</v>
      </c>
      <c r="R111" s="166"/>
      <c r="S111" s="156" t="n">
        <f aca="false">5638.4</f>
        <v>5638.4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29</v>
      </c>
      <c r="I112" s="148" t="n">
        <v>22</v>
      </c>
      <c r="J112" s="148" t="n">
        <v>29</v>
      </c>
      <c r="K112" s="149" t="n">
        <v>39574.41</v>
      </c>
      <c r="L112" s="149" t="n">
        <f aca="false">M112+N112</f>
        <v>29760.04</v>
      </c>
      <c r="M112" s="149" t="n">
        <v>29760.04</v>
      </c>
      <c r="N112" s="190"/>
      <c r="O112" s="151" t="n">
        <v>4</v>
      </c>
      <c r="P112" s="149" t="n">
        <v>25421.86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5</v>
      </c>
      <c r="I113" s="165" t="n">
        <v>3</v>
      </c>
      <c r="J113" s="165" t="n">
        <v>3</v>
      </c>
      <c r="K113" s="166" t="n">
        <v>10569.6</v>
      </c>
      <c r="L113" s="166" t="n">
        <f aca="false">M113+N113</f>
        <v>6957.5</v>
      </c>
      <c r="M113" s="166" t="n">
        <f aca="false">2907.3</f>
        <v>2907.3</v>
      </c>
      <c r="N113" s="156" t="n">
        <v>4050.2</v>
      </c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6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29</v>
      </c>
      <c r="I118" s="160" t="n">
        <v>19</v>
      </c>
      <c r="J118" s="160" t="n">
        <v>28</v>
      </c>
      <c r="K118" s="161" t="n">
        <v>51943.96</v>
      </c>
      <c r="L118" s="161" t="n">
        <f aca="false">M118+N118</f>
        <v>33320.63</v>
      </c>
      <c r="M118" s="161" t="n">
        <v>33320.63</v>
      </c>
      <c r="N118" s="190"/>
      <c r="O118" s="163" t="n">
        <v>26</v>
      </c>
      <c r="P118" s="161" t="n">
        <v>50558.54</v>
      </c>
      <c r="Q118" s="161" t="n">
        <f aca="false">R118+S118</f>
        <v>48972.74</v>
      </c>
      <c r="R118" s="161" t="n">
        <v>48972.74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6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528.6</v>
      </c>
      <c r="M120" s="149" t="n">
        <v>528.6</v>
      </c>
      <c r="N120" s="190"/>
      <c r="O120" s="151" t="n">
        <v>5</v>
      </c>
      <c r="P120" s="149" t="n">
        <v>57770.79</v>
      </c>
      <c r="Q120" s="149" t="n">
        <f aca="false">R120+S120</f>
        <v>1162.92</v>
      </c>
      <c r="R120" s="149" t="n">
        <v>1162.92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30</v>
      </c>
      <c r="I122" s="148" t="n">
        <v>17</v>
      </c>
      <c r="J122" s="148" t="n">
        <v>21</v>
      </c>
      <c r="K122" s="149" t="n">
        <v>22175.56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22</v>
      </c>
      <c r="I123" s="165" t="n">
        <v>13</v>
      </c>
      <c r="J123" s="165" t="n">
        <v>13</v>
      </c>
      <c r="K123" s="166" t="n">
        <v>12444.6</v>
      </c>
      <c r="L123" s="166" t="n">
        <v>6695.6</v>
      </c>
      <c r="M123" s="166" t="n">
        <v>6695.6</v>
      </c>
      <c r="N123" s="156" t="n">
        <v>1257.1</v>
      </c>
      <c r="O123" s="168" t="n">
        <v>15</v>
      </c>
      <c r="P123" s="166" t="n">
        <v>31202</v>
      </c>
      <c r="Q123" s="166" t="n">
        <v>23522.7</v>
      </c>
      <c r="R123" s="166" t="n">
        <v>23522.7</v>
      </c>
      <c r="S123" s="156" t="n">
        <v>6622.1</v>
      </c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25</v>
      </c>
      <c r="I124" s="148" t="n">
        <v>15</v>
      </c>
      <c r="J124" s="148" t="n">
        <v>19</v>
      </c>
      <c r="K124" s="149" t="n">
        <v>51882.6</v>
      </c>
      <c r="L124" s="149" t="n">
        <f aca="false">M124+N124</f>
        <v>41123.37</v>
      </c>
      <c r="M124" s="149" t="n">
        <v>41123.37</v>
      </c>
      <c r="N124" s="190"/>
      <c r="O124" s="151" t="n">
        <v>19</v>
      </c>
      <c r="P124" s="149" t="n">
        <v>67667.88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30</v>
      </c>
      <c r="I126" s="160" t="n">
        <v>10</v>
      </c>
      <c r="J126" s="160" t="n">
        <v>11</v>
      </c>
      <c r="K126" s="161" t="n">
        <v>33631.02</v>
      </c>
      <c r="L126" s="161" t="n">
        <f aca="false">M126+N126</f>
        <v>23522.7</v>
      </c>
      <c r="M126" s="161" t="n">
        <v>11259.18</v>
      </c>
      <c r="N126" s="190" t="n">
        <v>12263.52</v>
      </c>
      <c r="O126" s="163" t="n">
        <v>17</v>
      </c>
      <c r="P126" s="161" t="n">
        <v>124793.48</v>
      </c>
      <c r="Q126" s="161" t="n">
        <f aca="false">R126+S126</f>
        <v>78950.02</v>
      </c>
      <c r="R126" s="161" t="n">
        <v>59549.41</v>
      </c>
      <c r="S126" s="190" t="n">
        <v>19400.61</v>
      </c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4193.56</v>
      </c>
      <c r="L128" s="166" t="n">
        <f aca="false">M128+N128</f>
        <v>8059.66</v>
      </c>
      <c r="M128" s="166" t="n">
        <f aca="false">2266.65+23.95+1902.96</f>
        <v>4193.56</v>
      </c>
      <c r="N128" s="156" t="n">
        <v>3866.1</v>
      </c>
      <c r="O128" s="168" t="n">
        <v>10</v>
      </c>
      <c r="P128" s="166" t="n">
        <v>39891.68</v>
      </c>
      <c r="Q128" s="166" t="n">
        <f aca="false">R128+S128</f>
        <v>47439.78</v>
      </c>
      <c r="R128" s="166" t="n">
        <f aca="false">29167.43-47.9+23.95+10748.2</f>
        <v>39891.68</v>
      </c>
      <c r="S128" s="156" t="n">
        <f aca="false">7548.1</f>
        <v>7548.1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6</v>
      </c>
      <c r="J131" s="160" t="n">
        <v>6</v>
      </c>
      <c r="K131" s="161" t="n">
        <v>5938.38</v>
      </c>
      <c r="L131" s="161" t="n">
        <f aca="false">M131+N131</f>
        <v>4891.75</v>
      </c>
      <c r="M131" s="161" t="n">
        <v>4891.75</v>
      </c>
      <c r="N131" s="190"/>
      <c r="O131" s="163" t="n">
        <v>8</v>
      </c>
      <c r="P131" s="161" t="n">
        <v>22293.04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10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9242.43</v>
      </c>
      <c r="Q132" s="155" t="n">
        <f aca="false">R132+S132</f>
        <v>14284.03</v>
      </c>
      <c r="R132" s="155" t="n">
        <f aca="false">1585.8+1585.8+6070.83</f>
        <v>9242.43</v>
      </c>
      <c r="S132" s="156" t="n">
        <f aca="false">5041.6</f>
        <v>5041.6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2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6540.54</v>
      </c>
      <c r="N135" s="190" t="n">
        <v>10186.06</v>
      </c>
      <c r="O135" s="151" t="n">
        <v>9</v>
      </c>
      <c r="P135" s="149" t="n">
        <v>43045.94</v>
      </c>
      <c r="Q135" s="149" t="n">
        <f aca="false">R135+S135</f>
        <v>39667.8</v>
      </c>
      <c r="R135" s="149" t="n">
        <v>29317.65</v>
      </c>
      <c r="S135" s="190" t="n">
        <v>10350.15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19</v>
      </c>
      <c r="I136" s="165" t="n">
        <v>15</v>
      </c>
      <c r="J136" s="165" t="n">
        <v>15</v>
      </c>
      <c r="K136" s="166" t="n">
        <v>13522.75</v>
      </c>
      <c r="L136" s="166" t="n">
        <v>7929</v>
      </c>
      <c r="M136" s="166" t="n">
        <v>7929</v>
      </c>
      <c r="N136" s="156" t="n">
        <v>5769.95</v>
      </c>
      <c r="O136" s="168" t="n">
        <v>11</v>
      </c>
      <c r="P136" s="166" t="n">
        <v>28192</v>
      </c>
      <c r="Q136" s="166" t="n">
        <v>19205.8</v>
      </c>
      <c r="R136" s="166" t="n">
        <v>19205.8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30</v>
      </c>
      <c r="I137" s="148" t="n">
        <v>20</v>
      </c>
      <c r="J137" s="148" t="n">
        <v>27</v>
      </c>
      <c r="K137" s="149" t="n">
        <v>74625.25</v>
      </c>
      <c r="L137" s="149" t="n">
        <f aca="false">M137+N137</f>
        <v>55268.48</v>
      </c>
      <c r="M137" s="149" t="n">
        <v>55268.48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11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1233.4+3347.8</f>
        <v>4581.2</v>
      </c>
      <c r="N138" s="167" t="n">
        <f aca="false">2209.2</f>
        <v>2209.2</v>
      </c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11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3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25</v>
      </c>
      <c r="I142" s="160" t="n">
        <v>20</v>
      </c>
      <c r="J142" s="160" t="n">
        <v>20</v>
      </c>
      <c r="K142" s="161" t="n">
        <v>7606.2</v>
      </c>
      <c r="L142" s="161" t="n">
        <f aca="false">M142+N142</f>
        <v>4757.4</v>
      </c>
      <c r="M142" s="161" t="n">
        <v>4757.4</v>
      </c>
      <c r="N142" s="190"/>
      <c r="O142" s="163" t="n">
        <v>24</v>
      </c>
      <c r="P142" s="161" t="n">
        <v>48668.87</v>
      </c>
      <c r="Q142" s="161" t="n">
        <f aca="false">R142+S142</f>
        <v>38323.95</v>
      </c>
      <c r="R142" s="161" t="n">
        <v>38323.95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12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2643</f>
        <v>2643</v>
      </c>
      <c r="N143" s="167" t="n">
        <f aca="false">1585.8</f>
        <v>1585.8</v>
      </c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6</v>
      </c>
      <c r="I145" s="148" t="n">
        <v>4</v>
      </c>
      <c r="J145" s="148" t="n">
        <v>5</v>
      </c>
      <c r="K145" s="149" t="n">
        <v>4673.26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6</v>
      </c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21</v>
      </c>
      <c r="I147" s="160" t="n">
        <v>16</v>
      </c>
      <c r="J147" s="160" t="n">
        <v>16</v>
      </c>
      <c r="K147" s="161" t="n">
        <v>17960.86</v>
      </c>
      <c r="L147" s="161" t="n">
        <f aca="false">M147+N147</f>
        <v>17408.56</v>
      </c>
      <c r="M147" s="161" t="n">
        <v>17408.56</v>
      </c>
      <c r="N147" s="190"/>
      <c r="O147" s="163" t="n">
        <v>8</v>
      </c>
      <c r="P147" s="161" t="n">
        <v>30446.34</v>
      </c>
      <c r="Q147" s="161" t="n">
        <f aca="false">R147+S147</f>
        <v>27296.38</v>
      </c>
      <c r="R147" s="161" t="n">
        <v>27296.38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3700.2</v>
      </c>
      <c r="M148" s="166" t="n">
        <f aca="false">3700.2</f>
        <v>3700.2</v>
      </c>
      <c r="N148" s="156"/>
      <c r="O148" s="168" t="n">
        <v>7</v>
      </c>
      <c r="P148" s="166" t="n">
        <v>8105.2</v>
      </c>
      <c r="Q148" s="166" t="n">
        <f aca="false">R148+S148</f>
        <v>8986.2</v>
      </c>
      <c r="R148" s="166" t="n">
        <f aca="false">6519.4+1585.8</f>
        <v>8105.2</v>
      </c>
      <c r="S148" s="156" t="n">
        <f aca="false">881</f>
        <v>881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5</v>
      </c>
      <c r="I149" s="148" t="n">
        <v>2</v>
      </c>
      <c r="J149" s="148" t="n">
        <v>3</v>
      </c>
      <c r="K149" s="149" t="n">
        <v>8028.11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1</v>
      </c>
      <c r="J150" s="165" t="n">
        <v>1</v>
      </c>
      <c r="K150" s="166" t="n">
        <v>704.8</v>
      </c>
      <c r="L150" s="166" t="n">
        <f aca="false">M150+N150</f>
        <v>2466.8</v>
      </c>
      <c r="M150" s="166" t="n">
        <f aca="false">2466.8</f>
        <v>2466.8</v>
      </c>
      <c r="N150" s="167"/>
      <c r="O150" s="168" t="n">
        <v>7</v>
      </c>
      <c r="P150" s="166" t="n">
        <v>10925</v>
      </c>
      <c r="Q150" s="166" t="n">
        <f aca="false">R150+S150</f>
        <v>11860.54</v>
      </c>
      <c r="R150" s="166" t="n">
        <f aca="false">2290.6+528.6+7047.84</f>
        <v>9867.04</v>
      </c>
      <c r="S150" s="167" t="n">
        <f aca="false">1993.5</f>
        <v>1993.5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/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/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2</v>
      </c>
      <c r="P153" s="161" t="n">
        <v>20088.08</v>
      </c>
      <c r="Q153" s="161" t="n">
        <f aca="false">R153+S153</f>
        <v>20088.08</v>
      </c>
      <c r="R153" s="161" t="n">
        <v>20088.08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26" t="s">
        <v>281</v>
      </c>
      <c r="G154" s="152" t="s">
        <v>26</v>
      </c>
      <c r="H154" s="153" t="n">
        <v>3</v>
      </c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105</v>
      </c>
      <c r="C155" s="35" t="s">
        <v>33</v>
      </c>
      <c r="D155" s="35" t="s">
        <v>106</v>
      </c>
      <c r="E155" s="35" t="s">
        <v>107</v>
      </c>
      <c r="F155" s="36"/>
      <c r="G155" s="146" t="s">
        <v>22</v>
      </c>
      <c r="H155" s="169" t="n">
        <v>8</v>
      </c>
      <c r="I155" s="160" t="n">
        <v>3</v>
      </c>
      <c r="J155" s="160" t="n">
        <v>3</v>
      </c>
      <c r="K155" s="161" t="n">
        <v>2479.18</v>
      </c>
      <c r="L155" s="161" t="n">
        <f aca="false">M155+N155</f>
        <v>352.4</v>
      </c>
      <c r="M155" s="161" t="n">
        <v>352.4</v>
      </c>
      <c r="N155" s="190"/>
      <c r="O155" s="163" t="n">
        <v>11</v>
      </c>
      <c r="P155" s="161" t="n">
        <v>54093.04</v>
      </c>
      <c r="Q155" s="161" t="n">
        <f aca="false">R155+S155</f>
        <v>45624.44</v>
      </c>
      <c r="R155" s="161" t="n">
        <v>45624.44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194</v>
      </c>
      <c r="G156" s="164" t="s">
        <v>26</v>
      </c>
      <c r="H156" s="153" t="n">
        <v>2</v>
      </c>
      <c r="I156" s="165"/>
      <c r="J156" s="165"/>
      <c r="K156" s="166"/>
      <c r="L156" s="161" t="n">
        <f aca="false">M156+N156</f>
        <v>0</v>
      </c>
      <c r="M156" s="166" t="n">
        <v>0</v>
      </c>
      <c r="N156" s="156"/>
      <c r="O156" s="168" t="n">
        <v>7</v>
      </c>
      <c r="P156" s="166" t="n">
        <v>23645.16</v>
      </c>
      <c r="Q156" s="166" t="n">
        <f aca="false">R156+S156</f>
        <v>18745.5</v>
      </c>
      <c r="R156" s="166" t="n">
        <f aca="false">4801.4+881+10853.9</f>
        <v>16536.3</v>
      </c>
      <c r="S156" s="156" t="n">
        <f aca="false">2209.2</f>
        <v>2209.2</v>
      </c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72"/>
      <c r="B157" s="73" t="s">
        <v>108</v>
      </c>
      <c r="C157" s="74" t="s">
        <v>33</v>
      </c>
      <c r="D157" s="74" t="s">
        <v>109</v>
      </c>
      <c r="E157" s="74" t="s">
        <v>25</v>
      </c>
      <c r="F157" s="20"/>
      <c r="G157" s="146" t="s">
        <v>22</v>
      </c>
      <c r="H157" s="159" t="n">
        <v>11</v>
      </c>
      <c r="I157" s="148" t="n">
        <v>10</v>
      </c>
      <c r="J157" s="148" t="n">
        <v>11</v>
      </c>
      <c r="K157" s="149" t="n">
        <v>21918.02</v>
      </c>
      <c r="L157" s="149" t="n">
        <f aca="false">M157+N157</f>
        <v>11519.11</v>
      </c>
      <c r="M157" s="149" t="n">
        <v>11519.11</v>
      </c>
      <c r="N157" s="190"/>
      <c r="O157" s="151" t="n">
        <v>22</v>
      </c>
      <c r="P157" s="149" t="n">
        <v>54823.91</v>
      </c>
      <c r="Q157" s="149" t="n">
        <f aca="false">R157+S157</f>
        <v>37928.86</v>
      </c>
      <c r="R157" s="149" t="n">
        <v>37928.86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72"/>
      <c r="B158" s="73"/>
      <c r="C158" s="73"/>
      <c r="D158" s="73"/>
      <c r="E158" s="73"/>
      <c r="F158" s="42" t="s">
        <v>195</v>
      </c>
      <c r="G158" s="164" t="s">
        <v>26</v>
      </c>
      <c r="H158" s="171" t="n">
        <v>9</v>
      </c>
      <c r="I158" s="165" t="n">
        <v>7</v>
      </c>
      <c r="J158" s="165" t="n">
        <v>7</v>
      </c>
      <c r="K158" s="166" t="n">
        <v>25240.98</v>
      </c>
      <c r="L158" s="166" t="n">
        <f aca="false">M158+N158</f>
        <v>14448.4</v>
      </c>
      <c r="M158" s="166" t="n">
        <f aca="false">6942.28+7506.12</f>
        <v>14448.4</v>
      </c>
      <c r="N158" s="156"/>
      <c r="O158" s="157" t="n">
        <v>13</v>
      </c>
      <c r="P158" s="155" t="n">
        <v>32508.9</v>
      </c>
      <c r="Q158" s="155" t="n">
        <f aca="false">R158+S158</f>
        <v>62603.86</v>
      </c>
      <c r="R158" s="155" t="n">
        <f aca="false">15329.4+14888.9+7893.76</f>
        <v>38112.06</v>
      </c>
      <c r="S158" s="156" t="n">
        <f aca="false">24491.8</f>
        <v>24491.8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110</v>
      </c>
      <c r="C159" s="19" t="s">
        <v>33</v>
      </c>
      <c r="D159" s="19" t="s">
        <v>111</v>
      </c>
      <c r="E159" s="19" t="s">
        <v>25</v>
      </c>
      <c r="F159" s="20"/>
      <c r="G159" s="146" t="s">
        <v>22</v>
      </c>
      <c r="H159" s="159" t="n">
        <v>30</v>
      </c>
      <c r="I159" s="148" t="n">
        <v>21</v>
      </c>
      <c r="J159" s="193" t="n">
        <v>24</v>
      </c>
      <c r="K159" s="149" t="n">
        <v>25113.93</v>
      </c>
      <c r="L159" s="149" t="n">
        <f aca="false">M159+N159</f>
        <v>19498.3</v>
      </c>
      <c r="M159" s="149" t="n">
        <v>19498.3</v>
      </c>
      <c r="N159" s="190"/>
      <c r="O159" s="163" t="n">
        <v>19</v>
      </c>
      <c r="P159" s="161" t="n">
        <v>104266.8</v>
      </c>
      <c r="Q159" s="161" t="n">
        <f aca="false">R159+S159</f>
        <v>50536.47</v>
      </c>
      <c r="R159" s="161" t="n">
        <v>50536.47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42" t="s">
        <v>196</v>
      </c>
      <c r="G160" s="164" t="s">
        <v>26</v>
      </c>
      <c r="H160" s="175" t="n">
        <v>5</v>
      </c>
      <c r="I160" s="165" t="n">
        <v>4</v>
      </c>
      <c r="J160" s="165" t="n">
        <v>3</v>
      </c>
      <c r="K160" s="166" t="n">
        <v>10296.2</v>
      </c>
      <c r="L160" s="166" t="n">
        <f aca="false">M160+N160</f>
        <v>0</v>
      </c>
      <c r="M160" s="166"/>
      <c r="N160" s="167"/>
      <c r="O160" s="168" t="n">
        <v>1</v>
      </c>
      <c r="P160" s="166"/>
      <c r="Q160" s="166" t="n">
        <f aca="false">R160+S160</f>
        <v>0</v>
      </c>
      <c r="R160" s="166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40" t="s">
        <v>282</v>
      </c>
      <c r="C161" s="19" t="s">
        <v>33</v>
      </c>
      <c r="D161" s="19" t="s">
        <v>283</v>
      </c>
      <c r="E161" s="19" t="s">
        <v>284</v>
      </c>
      <c r="F161" s="20"/>
      <c r="G161" s="146" t="s">
        <v>22</v>
      </c>
      <c r="H161" s="173"/>
      <c r="I161" s="148"/>
      <c r="J161" s="148"/>
      <c r="K161" s="241"/>
      <c r="L161" s="241" t="n">
        <f aca="false">M161+N161</f>
        <v>0</v>
      </c>
      <c r="M161" s="241"/>
      <c r="N161" s="150"/>
      <c r="O161" s="206"/>
      <c r="P161" s="149"/>
      <c r="Q161" s="149" t="n">
        <f aca="false">R161+S161</f>
        <v>0</v>
      </c>
      <c r="R161" s="149"/>
      <c r="S161" s="15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40"/>
      <c r="C162" s="19"/>
      <c r="D162" s="19"/>
      <c r="E162" s="19"/>
      <c r="F162" s="26" t="s">
        <v>285</v>
      </c>
      <c r="G162" s="152" t="s">
        <v>23</v>
      </c>
      <c r="H162" s="174" t="n">
        <v>6</v>
      </c>
      <c r="I162" s="154" t="n">
        <v>2</v>
      </c>
      <c r="J162" s="154" t="n">
        <v>2</v>
      </c>
      <c r="K162" s="242" t="n">
        <v>1472.8</v>
      </c>
      <c r="L162" s="242" t="n">
        <f aca="false">M162+N162</f>
        <v>1472.8</v>
      </c>
      <c r="M162" s="242"/>
      <c r="N162" s="156" t="n">
        <v>1472.8</v>
      </c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 t="s">
        <v>112</v>
      </c>
      <c r="C163" s="35" t="s">
        <v>20</v>
      </c>
      <c r="D163" s="35" t="s">
        <v>197</v>
      </c>
      <c r="E163" s="35" t="s">
        <v>25</v>
      </c>
      <c r="F163" s="36"/>
      <c r="G163" s="158" t="s">
        <v>22</v>
      </c>
      <c r="H163" s="159" t="n">
        <v>21</v>
      </c>
      <c r="I163" s="160" t="n">
        <v>21</v>
      </c>
      <c r="J163" s="160" t="n">
        <v>28</v>
      </c>
      <c r="K163" s="140" t="n">
        <v>71945.49</v>
      </c>
      <c r="L163" s="140" t="n">
        <f aca="false">M163+N163</f>
        <v>56817.22</v>
      </c>
      <c r="M163" s="140" t="n">
        <v>37636.31</v>
      </c>
      <c r="N163" s="190" t="n">
        <v>19180.91</v>
      </c>
      <c r="O163" s="163" t="n">
        <v>7</v>
      </c>
      <c r="P163" s="161" t="n">
        <v>29719.69</v>
      </c>
      <c r="Q163" s="161" t="n">
        <f aca="false">R163+S163</f>
        <v>25423.03</v>
      </c>
      <c r="R163" s="161" t="n">
        <v>20244.62</v>
      </c>
      <c r="S163" s="190" t="n">
        <v>5178.41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26" t="s">
        <v>198</v>
      </c>
      <c r="G164" s="152" t="s">
        <v>26</v>
      </c>
      <c r="H164" s="171" t="n">
        <v>5</v>
      </c>
      <c r="I164" s="165" t="n">
        <v>1</v>
      </c>
      <c r="J164" s="165" t="n">
        <v>1</v>
      </c>
      <c r="K164" s="166" t="n">
        <v>1762</v>
      </c>
      <c r="L164" s="166" t="n">
        <f aca="false">M164+N164</f>
        <v>1321.5</v>
      </c>
      <c r="M164" s="166" t="n">
        <f aca="false">1321.5</f>
        <v>1321.5</v>
      </c>
      <c r="N164" s="156"/>
      <c r="O164" s="168" t="n">
        <v>2</v>
      </c>
      <c r="P164" s="166" t="n">
        <v>2114.4</v>
      </c>
      <c r="Q164" s="166" t="n">
        <f aca="false">R164+S164</f>
        <v>27663.4</v>
      </c>
      <c r="R164" s="166" t="n">
        <f aca="false">2114.4</f>
        <v>2114.4</v>
      </c>
      <c r="S164" s="156" t="n">
        <f aca="false">25549</f>
        <v>25549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113</v>
      </c>
      <c r="C165" s="19" t="s">
        <v>20</v>
      </c>
      <c r="D165" s="19"/>
      <c r="E165" s="19" t="s">
        <v>31</v>
      </c>
      <c r="F165" s="36"/>
      <c r="G165" s="146" t="s">
        <v>22</v>
      </c>
      <c r="H165" s="159" t="n">
        <v>15</v>
      </c>
      <c r="I165" s="148" t="n">
        <v>12</v>
      </c>
      <c r="J165" s="148" t="n">
        <v>15</v>
      </c>
      <c r="K165" s="149" t="n">
        <v>31283.15</v>
      </c>
      <c r="L165" s="149" t="n">
        <f aca="false">M165+N165</f>
        <v>25824.49</v>
      </c>
      <c r="M165" s="149" t="n">
        <v>25824.49</v>
      </c>
      <c r="N165" s="190"/>
      <c r="O165" s="151" t="n">
        <v>8</v>
      </c>
      <c r="P165" s="149" t="n">
        <v>18834.43</v>
      </c>
      <c r="Q165" s="149" t="n">
        <f aca="false">R165+S165</f>
        <v>18834.43</v>
      </c>
      <c r="R165" s="149" t="n">
        <v>18834.43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57"/>
      <c r="G166" s="152" t="s">
        <v>26</v>
      </c>
      <c r="H166" s="153"/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114</v>
      </c>
      <c r="C167" s="35" t="s">
        <v>20</v>
      </c>
      <c r="D167" s="95"/>
      <c r="E167" s="35" t="s">
        <v>25</v>
      </c>
      <c r="F167" s="71"/>
      <c r="G167" s="146" t="s">
        <v>22</v>
      </c>
      <c r="H167" s="169" t="n">
        <v>2</v>
      </c>
      <c r="I167" s="160"/>
      <c r="J167" s="160"/>
      <c r="K167" s="161"/>
      <c r="L167" s="161" t="n">
        <f aca="false">M167+N167</f>
        <v>0</v>
      </c>
      <c r="M167" s="161"/>
      <c r="N167" s="190"/>
      <c r="O167" s="163" t="n">
        <v>3</v>
      </c>
      <c r="P167" s="161" t="n">
        <v>4574.09</v>
      </c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33"/>
      <c r="B168" s="34"/>
      <c r="C168" s="34"/>
      <c r="D168" s="34"/>
      <c r="E168" s="34"/>
      <c r="F168" s="42" t="s">
        <v>274</v>
      </c>
      <c r="G168" s="164" t="s">
        <v>26</v>
      </c>
      <c r="H168" s="175" t="n">
        <v>5</v>
      </c>
      <c r="I168" s="165" t="n">
        <v>5</v>
      </c>
      <c r="J168" s="165" t="n">
        <v>5</v>
      </c>
      <c r="K168" s="166" t="n">
        <v>5596.62</v>
      </c>
      <c r="L168" s="166" t="n">
        <f aca="false">M168+N168</f>
        <v>2692.53</v>
      </c>
      <c r="M168" s="166" t="n">
        <f aca="false">1127.68</f>
        <v>1127.68</v>
      </c>
      <c r="N168" s="156" t="n">
        <f aca="false">1012.55+552.3</f>
        <v>1564.85</v>
      </c>
      <c r="O168" s="168"/>
      <c r="P168" s="166"/>
      <c r="Q168" s="166" t="n">
        <f aca="false">R168+S168</f>
        <v>0</v>
      </c>
      <c r="R168" s="166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 t="s">
        <v>243</v>
      </c>
      <c r="C169" s="219"/>
      <c r="D169" s="19"/>
      <c r="E169" s="19"/>
      <c r="F169" s="20"/>
      <c r="G169" s="146" t="s">
        <v>22</v>
      </c>
      <c r="H169" s="173" t="n">
        <v>5</v>
      </c>
      <c r="I169" s="148" t="n">
        <v>4</v>
      </c>
      <c r="J169" s="148" t="n">
        <v>4</v>
      </c>
      <c r="K169" s="149" t="n">
        <v>4602.74</v>
      </c>
      <c r="L169" s="149" t="n">
        <f aca="false">M169+N169</f>
        <v>4062.29</v>
      </c>
      <c r="M169" s="149" t="n">
        <v>4062.29</v>
      </c>
      <c r="N169" s="190"/>
      <c r="O169" s="206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/>
      <c r="C170" s="18"/>
      <c r="D170" s="18"/>
      <c r="E170" s="18"/>
      <c r="F170" s="26" t="s">
        <v>275</v>
      </c>
      <c r="G170" s="152" t="s">
        <v>26</v>
      </c>
      <c r="H170" s="174" t="n">
        <v>6</v>
      </c>
      <c r="I170" s="154" t="n">
        <v>2</v>
      </c>
      <c r="J170" s="154" t="n">
        <v>2</v>
      </c>
      <c r="K170" s="155" t="n">
        <v>2114.4</v>
      </c>
      <c r="L170" s="155" t="n">
        <f aca="false">M170+N170</f>
        <v>5061.94</v>
      </c>
      <c r="M170" s="155" t="n">
        <f aca="false">3476.14</f>
        <v>3476.14</v>
      </c>
      <c r="N170" s="156" t="n">
        <v>1585.8</v>
      </c>
      <c r="O170" s="209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200</v>
      </c>
      <c r="C171" s="220"/>
      <c r="D171" s="56"/>
      <c r="E171" s="56"/>
      <c r="F171" s="36"/>
      <c r="G171" s="158" t="s">
        <v>22</v>
      </c>
      <c r="H171" s="159" t="n">
        <v>25</v>
      </c>
      <c r="I171" s="160" t="n">
        <v>24</v>
      </c>
      <c r="J171" s="160" t="n">
        <v>28</v>
      </c>
      <c r="K171" s="161" t="n">
        <v>44734.37</v>
      </c>
      <c r="L171" s="161" t="n">
        <f aca="false">M171+N171</f>
        <v>22458.11</v>
      </c>
      <c r="M171" s="161" t="n">
        <v>22458.11</v>
      </c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57"/>
      <c r="G172" s="152" t="s">
        <v>26</v>
      </c>
      <c r="H172" s="174" t="n">
        <v>4</v>
      </c>
      <c r="I172" s="154" t="n">
        <v>4</v>
      </c>
      <c r="J172" s="154" t="n">
        <v>4</v>
      </c>
      <c r="K172" s="155" t="n">
        <v>6046.1</v>
      </c>
      <c r="L172" s="155" t="n">
        <f aca="false">M172+N172</f>
        <v>8512.9</v>
      </c>
      <c r="M172" s="155" t="n">
        <f aca="false">4757.4+2466.8</f>
        <v>7224.2</v>
      </c>
      <c r="N172" s="156" t="n">
        <f aca="false">1288.7</f>
        <v>1288.7</v>
      </c>
      <c r="O172" s="157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115</v>
      </c>
      <c r="C173" s="56" t="s">
        <v>20</v>
      </c>
      <c r="D173" s="56"/>
      <c r="E173" s="56" t="s">
        <v>116</v>
      </c>
      <c r="F173" s="36"/>
      <c r="G173" s="158" t="s">
        <v>22</v>
      </c>
      <c r="H173" s="159" t="n">
        <v>17</v>
      </c>
      <c r="I173" s="160" t="n">
        <v>15</v>
      </c>
      <c r="J173" s="160" t="n">
        <v>17</v>
      </c>
      <c r="K173" s="161" t="n">
        <v>15676.78</v>
      </c>
      <c r="L173" s="161" t="n">
        <f aca="false">M173+N173</f>
        <v>9503.97</v>
      </c>
      <c r="M173" s="161" t="n">
        <v>9503.97</v>
      </c>
      <c r="N173" s="190"/>
      <c r="O173" s="163" t="n">
        <v>19</v>
      </c>
      <c r="P173" s="161" t="n">
        <v>47256.43</v>
      </c>
      <c r="Q173" s="161" t="n">
        <f aca="false">R173+S173</f>
        <v>38497.86</v>
      </c>
      <c r="R173" s="161" t="n">
        <v>38497.86</v>
      </c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42" t="s">
        <v>201</v>
      </c>
      <c r="G174" s="164" t="s">
        <v>26</v>
      </c>
      <c r="H174" s="172" t="n">
        <v>9</v>
      </c>
      <c r="I174" s="165" t="n">
        <v>4</v>
      </c>
      <c r="J174" s="165" t="n">
        <v>4</v>
      </c>
      <c r="K174" s="166" t="n">
        <v>8915.72</v>
      </c>
      <c r="L174" s="161" t="n">
        <f aca="false">M174+N174</f>
        <v>4510.72</v>
      </c>
      <c r="M174" s="166" t="n">
        <v>1585.8</v>
      </c>
      <c r="N174" s="156" t="n">
        <f aca="false">2924.92</f>
        <v>2924.92</v>
      </c>
      <c r="O174" s="168" t="n">
        <v>8</v>
      </c>
      <c r="P174" s="166" t="n">
        <v>5286</v>
      </c>
      <c r="Q174" s="166" t="n">
        <f aca="false">R174+S174</f>
        <v>5286</v>
      </c>
      <c r="R174" s="166" t="n">
        <f aca="false">881+2114.4+2290.6</f>
        <v>5286</v>
      </c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17"/>
      <c r="B175" s="18" t="s">
        <v>157</v>
      </c>
      <c r="C175" s="19"/>
      <c r="D175" s="19"/>
      <c r="E175" s="127"/>
      <c r="F175" s="22"/>
      <c r="G175" s="146" t="s">
        <v>22</v>
      </c>
      <c r="H175" s="147" t="n">
        <v>12</v>
      </c>
      <c r="I175" s="148" t="n">
        <v>5</v>
      </c>
      <c r="J175" s="148" t="n">
        <v>6</v>
      </c>
      <c r="K175" s="149" t="n">
        <v>11119.33</v>
      </c>
      <c r="L175" s="149" t="n">
        <f aca="false">M175+N175</f>
        <v>9520.31</v>
      </c>
      <c r="M175" s="149" t="n">
        <v>9520.31</v>
      </c>
      <c r="N175" s="190"/>
      <c r="O175" s="151"/>
      <c r="P175" s="149"/>
      <c r="Q175" s="149" t="n">
        <f aca="false">R175+S175</f>
        <v>0</v>
      </c>
      <c r="R175" s="149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17"/>
      <c r="B176" s="18"/>
      <c r="C176" s="18"/>
      <c r="D176" s="18"/>
      <c r="E176" s="127"/>
      <c r="F176" s="26" t="s">
        <v>202</v>
      </c>
      <c r="G176" s="152" t="s">
        <v>26</v>
      </c>
      <c r="H176" s="176" t="n">
        <v>2</v>
      </c>
      <c r="I176" s="154"/>
      <c r="J176" s="154"/>
      <c r="K176" s="155"/>
      <c r="L176" s="155" t="n">
        <f aca="false">M176+N176</f>
        <v>0</v>
      </c>
      <c r="M176" s="155"/>
      <c r="N176" s="156"/>
      <c r="O176" s="157" t="n">
        <v>2</v>
      </c>
      <c r="P176" s="155"/>
      <c r="Q176" s="155" t="n">
        <f aca="false">R176+S176</f>
        <v>0</v>
      </c>
      <c r="R176" s="155"/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33"/>
      <c r="B177" s="34" t="s">
        <v>117</v>
      </c>
      <c r="C177" s="35" t="s">
        <v>33</v>
      </c>
      <c r="D177" s="35" t="s">
        <v>118</v>
      </c>
      <c r="E177" s="74" t="s">
        <v>25</v>
      </c>
      <c r="F177" s="89"/>
      <c r="G177" s="158" t="s">
        <v>22</v>
      </c>
      <c r="H177" s="169"/>
      <c r="I177" s="160"/>
      <c r="J177" s="160"/>
      <c r="K177" s="161"/>
      <c r="L177" s="161" t="n">
        <f aca="false">M177+N177</f>
        <v>0</v>
      </c>
      <c r="M177" s="161"/>
      <c r="N177" s="190"/>
      <c r="O177" s="163"/>
      <c r="P177" s="161"/>
      <c r="Q177" s="161" t="n">
        <f aca="false">R177+S177</f>
        <v>0</v>
      </c>
      <c r="R177" s="161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33"/>
      <c r="B178" s="34"/>
      <c r="C178" s="34"/>
      <c r="D178" s="34"/>
      <c r="E178" s="34"/>
      <c r="F178" s="42"/>
      <c r="G178" s="158" t="s">
        <v>23</v>
      </c>
      <c r="H178" s="169"/>
      <c r="I178" s="160"/>
      <c r="J178" s="160"/>
      <c r="K178" s="161"/>
      <c r="L178" s="161" t="n">
        <f aca="false">M178+N178</f>
        <v>0</v>
      </c>
      <c r="M178" s="161"/>
      <c r="N178" s="167"/>
      <c r="O178" s="163" t="n">
        <v>2</v>
      </c>
      <c r="P178" s="161" t="n">
        <v>1762</v>
      </c>
      <c r="Q178" s="161" t="n">
        <v>1762</v>
      </c>
      <c r="R178" s="161" t="n">
        <v>1762</v>
      </c>
      <c r="S178" s="167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33"/>
      <c r="B179" s="34"/>
      <c r="C179" s="34"/>
      <c r="D179" s="34"/>
      <c r="E179" s="34"/>
      <c r="F179" s="42"/>
      <c r="G179" s="164" t="s">
        <v>26</v>
      </c>
      <c r="H179" s="153"/>
      <c r="I179" s="165"/>
      <c r="J179" s="165"/>
      <c r="K179" s="166"/>
      <c r="L179" s="166" t="n">
        <f aca="false">M179+N179</f>
        <v>0</v>
      </c>
      <c r="M179" s="166"/>
      <c r="N179" s="156"/>
      <c r="O179" s="168" t="n">
        <v>7</v>
      </c>
      <c r="P179" s="166" t="n">
        <v>5902.7</v>
      </c>
      <c r="Q179" s="166" t="n">
        <f aca="false">R179+S179</f>
        <v>5902.7</v>
      </c>
      <c r="R179" s="166" t="n">
        <f aca="false">1762+1278.41+2862.29</f>
        <v>5902.7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119</v>
      </c>
      <c r="C180" s="19" t="s">
        <v>20</v>
      </c>
      <c r="D180" s="19"/>
      <c r="E180" s="19" t="s">
        <v>25</v>
      </c>
      <c r="F180" s="20"/>
      <c r="G180" s="146" t="s">
        <v>22</v>
      </c>
      <c r="H180" s="169"/>
      <c r="I180" s="148"/>
      <c r="J180" s="148"/>
      <c r="K180" s="149"/>
      <c r="L180" s="149" t="n">
        <f aca="false">M180+N180</f>
        <v>0</v>
      </c>
      <c r="M180" s="149"/>
      <c r="N180" s="190"/>
      <c r="O180" s="151" t="n">
        <v>2</v>
      </c>
      <c r="P180" s="149" t="n">
        <v>2643</v>
      </c>
      <c r="Q180" s="149" t="n">
        <f aca="false">R180+S180</f>
        <v>2643</v>
      </c>
      <c r="R180" s="149" t="n">
        <v>2643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42" t="s">
        <v>203</v>
      </c>
      <c r="G181" s="164" t="s">
        <v>26</v>
      </c>
      <c r="H181" s="175" t="n">
        <v>5</v>
      </c>
      <c r="I181" s="165" t="n">
        <v>2</v>
      </c>
      <c r="J181" s="165" t="n">
        <v>2</v>
      </c>
      <c r="K181" s="166" t="n">
        <v>1233.4</v>
      </c>
      <c r="L181" s="166" t="n">
        <f aca="false">M181+N181</f>
        <v>1812.59</v>
      </c>
      <c r="M181" s="166" t="n">
        <f aca="false">704.8+1107.79</f>
        <v>1812.59</v>
      </c>
      <c r="N181" s="156"/>
      <c r="O181" s="168" t="n">
        <v>3</v>
      </c>
      <c r="P181" s="166" t="n">
        <v>11226.21</v>
      </c>
      <c r="Q181" s="166" t="n">
        <f aca="false">R181+S181</f>
        <v>11226.21</v>
      </c>
      <c r="R181" s="166" t="n">
        <f aca="false">7349.81+50.59+3825.81</f>
        <v>11226.21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225</v>
      </c>
      <c r="C182" s="19"/>
      <c r="D182" s="19"/>
      <c r="E182" s="19"/>
      <c r="F182" s="20"/>
      <c r="G182" s="146" t="s">
        <v>22</v>
      </c>
      <c r="H182" s="147"/>
      <c r="I182" s="148"/>
      <c r="J182" s="148"/>
      <c r="K182" s="149"/>
      <c r="L182" s="149" t="n">
        <f aca="false">M182+N182</f>
        <v>0</v>
      </c>
      <c r="M182" s="149"/>
      <c r="N182" s="190"/>
      <c r="O182" s="151"/>
      <c r="P182" s="149"/>
      <c r="Q182" s="149" t="n">
        <f aca="false">R182+S182</f>
        <v>0</v>
      </c>
      <c r="R182" s="149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17"/>
      <c r="B183" s="18"/>
      <c r="C183" s="18"/>
      <c r="D183" s="18"/>
      <c r="E183" s="18"/>
      <c r="F183" s="26" t="s">
        <v>244</v>
      </c>
      <c r="G183" s="152" t="s">
        <v>23</v>
      </c>
      <c r="H183" s="176" t="n">
        <v>16</v>
      </c>
      <c r="I183" s="154" t="n">
        <v>12</v>
      </c>
      <c r="J183" s="154" t="n">
        <v>12</v>
      </c>
      <c r="K183" s="155" t="n">
        <v>15020.8</v>
      </c>
      <c r="L183" s="155" t="n">
        <v>3567.8</v>
      </c>
      <c r="M183" s="155" t="n">
        <v>3567.8</v>
      </c>
      <c r="N183" s="156" t="n">
        <v>11453</v>
      </c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54"/>
      <c r="B184" s="55" t="s">
        <v>120</v>
      </c>
      <c r="C184" s="56" t="s">
        <v>20</v>
      </c>
      <c r="D184" s="56"/>
      <c r="E184" s="56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3</v>
      </c>
      <c r="P184" s="161" t="n">
        <v>3063.78</v>
      </c>
      <c r="Q184" s="161" t="n">
        <f aca="false">R184+S184</f>
        <v>3063.78</v>
      </c>
      <c r="R184" s="161" t="n">
        <v>3063.78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54"/>
      <c r="B185" s="55"/>
      <c r="C185" s="55"/>
      <c r="D185" s="55"/>
      <c r="E185" s="55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56"/>
      <c r="O185" s="168"/>
      <c r="P185" s="166"/>
      <c r="Q185" s="166" t="n">
        <f aca="false">R185+S185</f>
        <v>0</v>
      </c>
      <c r="R185" s="166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72"/>
      <c r="B186" s="18" t="s">
        <v>158</v>
      </c>
      <c r="C186" s="74"/>
      <c r="D186" s="56" t="s">
        <v>204</v>
      </c>
      <c r="E186" s="74"/>
      <c r="F186" s="53"/>
      <c r="G186" s="146" t="s">
        <v>22</v>
      </c>
      <c r="H186" s="195"/>
      <c r="I186" s="196"/>
      <c r="J186" s="196"/>
      <c r="K186" s="197"/>
      <c r="L186" s="197" t="n">
        <f aca="false">M186+N186</f>
        <v>0</v>
      </c>
      <c r="M186" s="197"/>
      <c r="N186" s="190"/>
      <c r="O186" s="199"/>
      <c r="P186" s="197"/>
      <c r="Q186" s="197" t="n">
        <f aca="false">R186+S186</f>
        <v>0</v>
      </c>
      <c r="R186" s="197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" hidden="false" customHeight="false" outlineLevel="0" collapsed="false">
      <c r="A187" s="54"/>
      <c r="B187" s="18"/>
      <c r="C187" s="56"/>
      <c r="D187" s="56"/>
      <c r="E187" s="56"/>
      <c r="F187" s="138" t="s">
        <v>205</v>
      </c>
      <c r="G187" s="152" t="s">
        <v>26</v>
      </c>
      <c r="H187" s="153" t="n">
        <v>6</v>
      </c>
      <c r="I187" s="200" t="n">
        <v>3</v>
      </c>
      <c r="J187" s="200" t="n">
        <v>3</v>
      </c>
      <c r="K187" s="201" t="n">
        <v>4739.06</v>
      </c>
      <c r="L187" s="201" t="n">
        <f aca="false">M187+N187</f>
        <v>0</v>
      </c>
      <c r="M187" s="201"/>
      <c r="N187" s="156"/>
      <c r="O187" s="203"/>
      <c r="P187" s="201"/>
      <c r="Q187" s="201" t="n">
        <f aca="false">R187+S187</f>
        <v>0</v>
      </c>
      <c r="R187" s="201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33"/>
      <c r="B188" s="34" t="s">
        <v>152</v>
      </c>
      <c r="C188" s="35" t="s">
        <v>20</v>
      </c>
      <c r="D188" s="35"/>
      <c r="E188" s="35" t="s">
        <v>25</v>
      </c>
      <c r="F188" s="36"/>
      <c r="G188" s="158" t="s">
        <v>22</v>
      </c>
      <c r="H188" s="169"/>
      <c r="I188" s="160"/>
      <c r="J188" s="160"/>
      <c r="K188" s="161"/>
      <c r="L188" s="161" t="n">
        <f aca="false">M188+N188</f>
        <v>0</v>
      </c>
      <c r="M188" s="161"/>
      <c r="N188" s="190"/>
      <c r="O188" s="163" t="n">
        <v>4</v>
      </c>
      <c r="P188" s="161" t="n">
        <v>7400.4</v>
      </c>
      <c r="Q188" s="161" t="n">
        <f aca="false">R188+S188</f>
        <v>7400.4</v>
      </c>
      <c r="R188" s="161" t="n">
        <v>7400.4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206</v>
      </c>
      <c r="G189" s="164" t="s">
        <v>26</v>
      </c>
      <c r="H189" s="171" t="n">
        <v>4</v>
      </c>
      <c r="I189" s="165"/>
      <c r="J189" s="165" t="n">
        <v>1</v>
      </c>
      <c r="K189" s="166" t="n">
        <v>704.8</v>
      </c>
      <c r="L189" s="166" t="n">
        <v>0</v>
      </c>
      <c r="M189" s="166" t="n">
        <f aca="false">4228.8</f>
        <v>4228.8</v>
      </c>
      <c r="N189" s="156"/>
      <c r="O189" s="168" t="n">
        <v>7</v>
      </c>
      <c r="P189" s="166" t="n">
        <v>12950.7</v>
      </c>
      <c r="Q189" s="161" t="n">
        <f aca="false">R189+S189</f>
        <v>12950.7</v>
      </c>
      <c r="R189" s="166" t="n">
        <f aca="false">2731.1+4228.8+5990.8</f>
        <v>12950.7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122</v>
      </c>
      <c r="C190" s="19" t="s">
        <v>20</v>
      </c>
      <c r="D190" s="19"/>
      <c r="E190" s="19" t="s">
        <v>116</v>
      </c>
      <c r="F190" s="20"/>
      <c r="G190" s="146" t="s">
        <v>22</v>
      </c>
      <c r="H190" s="159" t="n">
        <v>36</v>
      </c>
      <c r="I190" s="148" t="n">
        <v>33</v>
      </c>
      <c r="J190" s="148" t="n">
        <v>46</v>
      </c>
      <c r="K190" s="149" t="n">
        <v>74065.22</v>
      </c>
      <c r="L190" s="149" t="n">
        <f aca="false">M190+N190</f>
        <v>63069.56</v>
      </c>
      <c r="M190" s="149" t="n">
        <v>51516.04</v>
      </c>
      <c r="N190" s="190" t="n">
        <v>11553.52</v>
      </c>
      <c r="O190" s="151" t="n">
        <v>32</v>
      </c>
      <c r="P190" s="149" t="n">
        <v>115498.27</v>
      </c>
      <c r="Q190" s="149" t="n">
        <f aca="false">R190+S190</f>
        <v>112720.04</v>
      </c>
      <c r="R190" s="149" t="n">
        <v>96577.15</v>
      </c>
      <c r="S190" s="190" t="n">
        <v>16142.89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152" t="s">
        <v>26</v>
      </c>
      <c r="H191" s="153"/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123</v>
      </c>
      <c r="C192" s="35" t="s">
        <v>20</v>
      </c>
      <c r="D192" s="35"/>
      <c r="E192" s="35" t="s">
        <v>25</v>
      </c>
      <c r="F192" s="36"/>
      <c r="G192" s="146" t="s">
        <v>22</v>
      </c>
      <c r="H192" s="159" t="n">
        <v>6</v>
      </c>
      <c r="I192" s="160" t="n">
        <v>6</v>
      </c>
      <c r="J192" s="160" t="n">
        <v>6</v>
      </c>
      <c r="K192" s="161" t="n">
        <v>5298.16</v>
      </c>
      <c r="L192" s="161" t="n">
        <f aca="false">M192+N192</f>
        <v>4193.56</v>
      </c>
      <c r="M192" s="161" t="n">
        <v>4193.56</v>
      </c>
      <c r="N192" s="190"/>
      <c r="O192" s="163" t="n">
        <v>6</v>
      </c>
      <c r="P192" s="161" t="n">
        <v>10868.41</v>
      </c>
      <c r="Q192" s="161" t="n">
        <f aca="false">R192+S192</f>
        <v>10868.41</v>
      </c>
      <c r="R192" s="161" t="n">
        <v>10868.41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207</v>
      </c>
      <c r="G193" s="164" t="s">
        <v>26</v>
      </c>
      <c r="H193" s="153" t="n">
        <v>5</v>
      </c>
      <c r="I193" s="165" t="n">
        <v>2</v>
      </c>
      <c r="J193" s="165" t="n">
        <v>2</v>
      </c>
      <c r="K193" s="166" t="n">
        <v>1472.8</v>
      </c>
      <c r="L193" s="161" t="n">
        <f aca="false">M193+N193</f>
        <v>552.3</v>
      </c>
      <c r="M193" s="166" t="n">
        <v>0</v>
      </c>
      <c r="N193" s="156" t="n">
        <v>552.3</v>
      </c>
      <c r="O193" s="168" t="n">
        <v>3</v>
      </c>
      <c r="P193" s="166" t="n">
        <v>881</v>
      </c>
      <c r="Q193" s="166" t="n">
        <f aca="false">R193+S193</f>
        <v>7692.7</v>
      </c>
      <c r="R193" s="166" t="n">
        <f aca="false">881</f>
        <v>881</v>
      </c>
      <c r="S193" s="156" t="n">
        <f aca="false">6811.7</f>
        <v>6811.7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124</v>
      </c>
      <c r="C194" s="19" t="s">
        <v>20</v>
      </c>
      <c r="D194" s="19"/>
      <c r="E194" s="19" t="s">
        <v>88</v>
      </c>
      <c r="F194" s="20"/>
      <c r="G194" s="146" t="s">
        <v>22</v>
      </c>
      <c r="H194" s="159" t="n">
        <v>20</v>
      </c>
      <c r="I194" s="148" t="n">
        <v>13</v>
      </c>
      <c r="J194" s="148" t="n">
        <v>14</v>
      </c>
      <c r="K194" s="149" t="n">
        <v>25635.97</v>
      </c>
      <c r="L194" s="149" t="n">
        <f aca="false">M194+N194</f>
        <v>9941.39</v>
      </c>
      <c r="M194" s="149" t="n">
        <v>9941.39</v>
      </c>
      <c r="N194" s="190"/>
      <c r="O194" s="151" t="n">
        <v>11</v>
      </c>
      <c r="P194" s="149" t="n">
        <v>25417.55</v>
      </c>
      <c r="Q194" s="149" t="n">
        <f aca="false">R194+S194</f>
        <v>21526.95</v>
      </c>
      <c r="R194" s="149" t="n">
        <v>21526.95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42" t="s">
        <v>245</v>
      </c>
      <c r="G195" s="164" t="s">
        <v>23</v>
      </c>
      <c r="H195" s="172" t="n">
        <v>11</v>
      </c>
      <c r="I195" s="165" t="n">
        <v>5</v>
      </c>
      <c r="J195" s="165" t="n">
        <v>5</v>
      </c>
      <c r="K195" s="166" t="n">
        <v>3065.9</v>
      </c>
      <c r="L195" s="166" t="n">
        <v>396.45</v>
      </c>
      <c r="M195" s="166" t="n">
        <v>396.45</v>
      </c>
      <c r="N195" s="156" t="n">
        <v>2669.45</v>
      </c>
      <c r="O195" s="168" t="n">
        <v>10</v>
      </c>
      <c r="P195" s="166" t="n">
        <v>13133.05</v>
      </c>
      <c r="Q195" s="166" t="n">
        <v>9061.9</v>
      </c>
      <c r="R195" s="166" t="n">
        <v>9061.9</v>
      </c>
      <c r="S195" s="156" t="n">
        <v>4071.15</v>
      </c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208</v>
      </c>
      <c r="C196" s="19"/>
      <c r="D196" s="19"/>
      <c r="E196" s="127"/>
      <c r="F196" s="20"/>
      <c r="G196" s="146" t="s">
        <v>22</v>
      </c>
      <c r="H196" s="173" t="n">
        <v>40</v>
      </c>
      <c r="I196" s="148" t="n">
        <v>25</v>
      </c>
      <c r="J196" s="148" t="n">
        <v>25</v>
      </c>
      <c r="K196" s="149" t="n">
        <v>31863.12</v>
      </c>
      <c r="L196" s="149" t="n">
        <f aca="false">M196+N196</f>
        <v>30664.96</v>
      </c>
      <c r="M196" s="149" t="n">
        <v>30664.96</v>
      </c>
      <c r="N196" s="190"/>
      <c r="O196" s="151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28"/>
      <c r="F197" s="26" t="s">
        <v>246</v>
      </c>
      <c r="G197" s="152" t="s">
        <v>23</v>
      </c>
      <c r="H197" s="174" t="n">
        <v>12</v>
      </c>
      <c r="I197" s="154" t="n">
        <v>10</v>
      </c>
      <c r="J197" s="154" t="n">
        <v>10</v>
      </c>
      <c r="K197" s="155" t="n">
        <v>9872.91</v>
      </c>
      <c r="L197" s="155" t="n">
        <f aca="false">M197+N197</f>
        <v>6375.01</v>
      </c>
      <c r="M197" s="155" t="n">
        <v>1938.2</v>
      </c>
      <c r="N197" s="156" t="n">
        <v>4436.81</v>
      </c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125</v>
      </c>
      <c r="C198" s="35" t="s">
        <v>33</v>
      </c>
      <c r="D198" s="35" t="s">
        <v>126</v>
      </c>
      <c r="E198" s="35" t="s">
        <v>127</v>
      </c>
      <c r="F198" s="36"/>
      <c r="G198" s="158" t="s">
        <v>22</v>
      </c>
      <c r="H198" s="159" t="n">
        <v>16</v>
      </c>
      <c r="I198" s="160" t="n">
        <v>10</v>
      </c>
      <c r="J198" s="160" t="n">
        <v>13</v>
      </c>
      <c r="K198" s="161" t="n">
        <v>36273.83</v>
      </c>
      <c r="L198" s="161" t="n">
        <f aca="false">M198+N198</f>
        <v>29800.18</v>
      </c>
      <c r="M198" s="161" t="n">
        <v>29800.18</v>
      </c>
      <c r="N198" s="190"/>
      <c r="O198" s="163" t="n">
        <v>14</v>
      </c>
      <c r="P198" s="161" t="n">
        <v>33154.57</v>
      </c>
      <c r="Q198" s="161" t="n">
        <f aca="false">R198+S198</f>
        <v>33154.57</v>
      </c>
      <c r="R198" s="161" t="n">
        <v>33154.57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/>
      <c r="G199" s="164" t="s">
        <v>23</v>
      </c>
      <c r="H199" s="171" t="n">
        <v>34</v>
      </c>
      <c r="I199" s="165" t="n">
        <v>10</v>
      </c>
      <c r="J199" s="165" t="n">
        <v>10</v>
      </c>
      <c r="K199" s="166" t="n">
        <v>18016.03</v>
      </c>
      <c r="L199" s="166" t="n">
        <v>5109.8</v>
      </c>
      <c r="M199" s="166" t="n">
        <v>5109.8</v>
      </c>
      <c r="N199" s="156" t="n">
        <v>13787.23</v>
      </c>
      <c r="O199" s="168" t="n">
        <v>22</v>
      </c>
      <c r="P199" s="166" t="n">
        <v>46106.1</v>
      </c>
      <c r="Q199" s="166" t="n">
        <v>37639.62</v>
      </c>
      <c r="R199" s="166" t="n">
        <v>37639.62</v>
      </c>
      <c r="S199" s="156" t="n">
        <v>5075.8</v>
      </c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" hidden="false" customHeight="true" outlineLevel="0" collapsed="false">
      <c r="A200" s="17"/>
      <c r="B200" s="18" t="s">
        <v>128</v>
      </c>
      <c r="C200" s="19" t="s">
        <v>20</v>
      </c>
      <c r="D200" s="19"/>
      <c r="E200" s="19" t="s">
        <v>25</v>
      </c>
      <c r="F200" s="20"/>
      <c r="G200" s="146" t="s">
        <v>22</v>
      </c>
      <c r="H200" s="159" t="n">
        <v>25</v>
      </c>
      <c r="I200" s="148" t="n">
        <v>22</v>
      </c>
      <c r="J200" s="148" t="n">
        <v>25</v>
      </c>
      <c r="K200" s="149" t="n">
        <v>24009.25</v>
      </c>
      <c r="L200" s="149" t="n">
        <f aca="false">M200+N200</f>
        <v>13365.9</v>
      </c>
      <c r="M200" s="149" t="n">
        <v>13365.9</v>
      </c>
      <c r="N200" s="190"/>
      <c r="O200" s="151" t="n">
        <v>25</v>
      </c>
      <c r="P200" s="149" t="n">
        <v>47491.14</v>
      </c>
      <c r="Q200" s="149" t="n">
        <f aca="false">R200+S200</f>
        <v>42740.26</v>
      </c>
      <c r="R200" s="149" t="n">
        <v>42740.26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71"/>
      <c r="G201" s="164" t="s">
        <v>26</v>
      </c>
      <c r="H201" s="175"/>
      <c r="I201" s="165"/>
      <c r="J201" s="165"/>
      <c r="K201" s="166"/>
      <c r="L201" s="166" t="n">
        <f aca="false">M201+N201</f>
        <v>0</v>
      </c>
      <c r="M201" s="166"/>
      <c r="N201" s="156"/>
      <c r="O201" s="168"/>
      <c r="P201" s="166"/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227</v>
      </c>
      <c r="C202" s="19"/>
      <c r="D202" s="19"/>
      <c r="E202" s="19"/>
      <c r="F202" s="20"/>
      <c r="G202" s="204" t="s">
        <v>22</v>
      </c>
      <c r="H202" s="173" t="n">
        <v>5</v>
      </c>
      <c r="I202" s="148" t="n">
        <v>1</v>
      </c>
      <c r="J202" s="148" t="n">
        <v>1</v>
      </c>
      <c r="K202" s="149" t="n">
        <v>621.99</v>
      </c>
      <c r="L202" s="149" t="n">
        <f aca="false">M202+N202</f>
        <v>0</v>
      </c>
      <c r="M202" s="149"/>
      <c r="N202" s="190"/>
      <c r="O202" s="206"/>
      <c r="P202" s="149"/>
      <c r="Q202" s="149" t="n">
        <f aca="false">R202+S202</f>
        <v>0</v>
      </c>
      <c r="R202" s="149"/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251" t="s">
        <v>26</v>
      </c>
      <c r="H203" s="177"/>
      <c r="I203" s="165"/>
      <c r="J203" s="165"/>
      <c r="K203" s="166"/>
      <c r="L203" s="166" t="n">
        <f aca="false">M203+N203</f>
        <v>0</v>
      </c>
      <c r="M203" s="166"/>
      <c r="N203" s="167"/>
      <c r="O203" s="23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296</v>
      </c>
      <c r="C204" s="19"/>
      <c r="D204" s="19"/>
      <c r="E204" s="19" t="s">
        <v>25</v>
      </c>
      <c r="F204" s="20"/>
      <c r="G204" s="146" t="s">
        <v>22</v>
      </c>
      <c r="H204" s="173" t="n">
        <v>2</v>
      </c>
      <c r="I204" s="148"/>
      <c r="J204" s="148"/>
      <c r="K204" s="149"/>
      <c r="L204" s="149" t="n">
        <f aca="false">M204+N204</f>
        <v>0</v>
      </c>
      <c r="M204" s="149"/>
      <c r="N204" s="150"/>
      <c r="O204" s="206"/>
      <c r="P204" s="149"/>
      <c r="Q204" s="149" t="n">
        <f aca="false">R204+S204</f>
        <v>0</v>
      </c>
      <c r="R204" s="149"/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57"/>
      <c r="G205" s="152" t="s">
        <v>26</v>
      </c>
      <c r="H205" s="174"/>
      <c r="I205" s="154"/>
      <c r="J205" s="154"/>
      <c r="K205" s="155"/>
      <c r="L205" s="155" t="n">
        <f aca="false">M205+N205</f>
        <v>0</v>
      </c>
      <c r="M205" s="155"/>
      <c r="N205" s="156"/>
      <c r="O205" s="209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129</v>
      </c>
      <c r="C206" s="35" t="s">
        <v>38</v>
      </c>
      <c r="D206" s="35" t="s">
        <v>130</v>
      </c>
      <c r="E206" s="35" t="s">
        <v>25</v>
      </c>
      <c r="F206" s="36"/>
      <c r="G206" s="158" t="s">
        <v>22</v>
      </c>
      <c r="H206" s="159" t="n">
        <v>15</v>
      </c>
      <c r="I206" s="160" t="n">
        <v>12</v>
      </c>
      <c r="J206" s="160" t="n">
        <v>12</v>
      </c>
      <c r="K206" s="161" t="n">
        <v>13026.32</v>
      </c>
      <c r="L206" s="161" t="n">
        <f aca="false">M206+N206</f>
        <v>8519.19</v>
      </c>
      <c r="M206" s="161" t="n">
        <v>8519.19</v>
      </c>
      <c r="N206" s="190"/>
      <c r="O206" s="163" t="n">
        <v>5</v>
      </c>
      <c r="P206" s="161" t="n">
        <v>66458.37</v>
      </c>
      <c r="Q206" s="161" t="n">
        <f aca="false">R206+S206</f>
        <v>66458.37</v>
      </c>
      <c r="R206" s="161" t="n">
        <v>66458.37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209</v>
      </c>
      <c r="G207" s="164" t="s">
        <v>26</v>
      </c>
      <c r="H207" s="153" t="n">
        <v>5</v>
      </c>
      <c r="I207" s="165" t="n">
        <v>1</v>
      </c>
      <c r="J207" s="165" t="n">
        <v>1</v>
      </c>
      <c r="K207" s="166" t="n">
        <v>1762</v>
      </c>
      <c r="L207" s="161" t="n">
        <f aca="false">M207+N207</f>
        <v>1762</v>
      </c>
      <c r="M207" s="166" t="n">
        <f aca="false">1762</f>
        <v>1762</v>
      </c>
      <c r="N207" s="156"/>
      <c r="O207" s="168" t="n">
        <v>7</v>
      </c>
      <c r="P207" s="166" t="n">
        <v>22040.1</v>
      </c>
      <c r="Q207" s="166" t="n">
        <f aca="false">R207+S207</f>
        <v>22040.1</v>
      </c>
      <c r="R207" s="166" t="n">
        <f aca="false">881+881+14612.2+1409.5+4256.4</f>
        <v>22040.1</v>
      </c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17"/>
      <c r="B208" s="18" t="s">
        <v>131</v>
      </c>
      <c r="C208" s="19" t="s">
        <v>38</v>
      </c>
      <c r="D208" s="19" t="s">
        <v>130</v>
      </c>
      <c r="E208" s="19" t="s">
        <v>25</v>
      </c>
      <c r="F208" s="20"/>
      <c r="G208" s="146" t="s">
        <v>22</v>
      </c>
      <c r="H208" s="159" t="n">
        <v>10</v>
      </c>
      <c r="I208" s="148" t="n">
        <v>9</v>
      </c>
      <c r="J208" s="148" t="n">
        <v>17</v>
      </c>
      <c r="K208" s="149" t="n">
        <v>55173.64</v>
      </c>
      <c r="L208" s="149" t="n">
        <f aca="false">M208+N208</f>
        <v>31320.86</v>
      </c>
      <c r="M208" s="149" t="n">
        <v>31320.86</v>
      </c>
      <c r="N208" s="190"/>
      <c r="O208" s="151" t="n">
        <v>17</v>
      </c>
      <c r="P208" s="149" t="n">
        <v>163313.47</v>
      </c>
      <c r="Q208" s="149" t="n">
        <f aca="false">R208+S208</f>
        <v>151501.71</v>
      </c>
      <c r="R208" s="149" t="n">
        <v>151501.71</v>
      </c>
      <c r="S208" s="198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17"/>
      <c r="B209" s="18"/>
      <c r="C209" s="18"/>
      <c r="D209" s="18"/>
      <c r="E209" s="18"/>
      <c r="F209" s="26" t="s">
        <v>210</v>
      </c>
      <c r="G209" s="152" t="s">
        <v>26</v>
      </c>
      <c r="H209" s="153" t="n">
        <v>5</v>
      </c>
      <c r="I209" s="154" t="n">
        <v>4</v>
      </c>
      <c r="J209" s="154" t="n">
        <v>4</v>
      </c>
      <c r="K209" s="155" t="n">
        <v>3034.9</v>
      </c>
      <c r="L209" s="155" t="n">
        <f aca="false">M209+N209</f>
        <v>3034.9</v>
      </c>
      <c r="M209" s="155" t="n">
        <f aca="false">1585.8+528.6</f>
        <v>2114.4</v>
      </c>
      <c r="N209" s="156" t="n">
        <f aca="false">920.5</f>
        <v>920.5</v>
      </c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33"/>
      <c r="B210" s="34" t="s">
        <v>132</v>
      </c>
      <c r="C210" s="35" t="s">
        <v>20</v>
      </c>
      <c r="D210" s="35"/>
      <c r="E210" s="35" t="s">
        <v>69</v>
      </c>
      <c r="F210" s="38"/>
      <c r="G210" s="146" t="s">
        <v>22</v>
      </c>
      <c r="H210" s="159" t="n">
        <v>14</v>
      </c>
      <c r="I210" s="160" t="n">
        <v>11</v>
      </c>
      <c r="J210" s="160" t="n">
        <v>18</v>
      </c>
      <c r="K210" s="161" t="n">
        <v>41900.39</v>
      </c>
      <c r="L210" s="161" t="n">
        <f aca="false">M210+N210</f>
        <v>23368.97</v>
      </c>
      <c r="M210" s="161" t="n">
        <v>23368.97</v>
      </c>
      <c r="N210" s="190"/>
      <c r="O210" s="163" t="n">
        <v>15</v>
      </c>
      <c r="P210" s="161" t="n">
        <v>65486.6</v>
      </c>
      <c r="Q210" s="161" t="n">
        <f aca="false">R210+S210</f>
        <v>39943.71</v>
      </c>
      <c r="R210" s="161" t="n">
        <v>39943.71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33"/>
      <c r="B211" s="34"/>
      <c r="C211" s="34"/>
      <c r="D211" s="34"/>
      <c r="E211" s="34"/>
      <c r="F211" s="42" t="s">
        <v>211</v>
      </c>
      <c r="G211" s="164" t="s">
        <v>26</v>
      </c>
      <c r="H211" s="153" t="n">
        <v>10</v>
      </c>
      <c r="I211" s="165" t="n">
        <v>4</v>
      </c>
      <c r="J211" s="165" t="n">
        <v>4</v>
      </c>
      <c r="K211" s="166" t="n">
        <v>12298.76</v>
      </c>
      <c r="L211" s="166" t="n">
        <f aca="false">M211+N211</f>
        <v>5551.23</v>
      </c>
      <c r="M211" s="166"/>
      <c r="N211" s="156" t="n">
        <v>5551.23</v>
      </c>
      <c r="O211" s="168" t="n">
        <v>1</v>
      </c>
      <c r="P211" s="166" t="n">
        <v>3700.2</v>
      </c>
      <c r="Q211" s="166" t="n">
        <f aca="false">R211+S211</f>
        <v>3700.2</v>
      </c>
      <c r="R211" s="166"/>
      <c r="S211" s="156" t="n">
        <v>3700.2</v>
      </c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72"/>
      <c r="B212" s="73" t="s">
        <v>133</v>
      </c>
      <c r="C212" s="74" t="s">
        <v>20</v>
      </c>
      <c r="D212" s="74"/>
      <c r="E212" s="74" t="s">
        <v>25</v>
      </c>
      <c r="F212" s="22"/>
      <c r="G212" s="146" t="s">
        <v>22</v>
      </c>
      <c r="H212" s="159" t="n">
        <v>4</v>
      </c>
      <c r="I212" s="148" t="n">
        <v>4</v>
      </c>
      <c r="J212" s="148" t="n">
        <v>5</v>
      </c>
      <c r="K212" s="149" t="n">
        <v>7984.73</v>
      </c>
      <c r="L212" s="149" t="n">
        <f aca="false">M212+N212</f>
        <v>7984.73</v>
      </c>
      <c r="M212" s="149" t="n">
        <v>7984.73</v>
      </c>
      <c r="N212" s="190"/>
      <c r="O212" s="151" t="n">
        <v>2</v>
      </c>
      <c r="P212" s="149" t="n">
        <v>4329.79</v>
      </c>
      <c r="Q212" s="149" t="n">
        <f aca="false">R212+S212</f>
        <v>4329.79</v>
      </c>
      <c r="R212" s="149" t="n">
        <v>4329.79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72"/>
      <c r="B213" s="73"/>
      <c r="C213" s="73"/>
      <c r="D213" s="73"/>
      <c r="E213" s="73"/>
      <c r="F213" s="42" t="s">
        <v>212</v>
      </c>
      <c r="G213" s="164" t="s">
        <v>26</v>
      </c>
      <c r="H213" s="171" t="n">
        <v>4</v>
      </c>
      <c r="I213" s="165" t="n">
        <v>1</v>
      </c>
      <c r="J213" s="165" t="n">
        <v>1</v>
      </c>
      <c r="K213" s="166" t="n">
        <v>1409.6</v>
      </c>
      <c r="L213" s="166" t="n">
        <f aca="false">M213+N213</f>
        <v>1409.6</v>
      </c>
      <c r="M213" s="166" t="n">
        <f aca="false">1409.6</f>
        <v>1409.6</v>
      </c>
      <c r="N213" s="156"/>
      <c r="O213" s="168" t="n">
        <v>2</v>
      </c>
      <c r="P213" s="166" t="n">
        <v>2907.3</v>
      </c>
      <c r="Q213" s="166" t="n">
        <f aca="false">R213+S213</f>
        <v>2907.3</v>
      </c>
      <c r="R213" s="166" t="n">
        <f aca="false">1321.5+1585.8</f>
        <v>2907.3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134</v>
      </c>
      <c r="C214" s="74" t="s">
        <v>20</v>
      </c>
      <c r="D214" s="74"/>
      <c r="E214" s="74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</v>
      </c>
      <c r="P214" s="149" t="n">
        <v>13019.26</v>
      </c>
      <c r="Q214" s="149" t="n">
        <f aca="false">R214+S214</f>
        <v>13019.26</v>
      </c>
      <c r="R214" s="149" t="n">
        <v>13019.26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72"/>
      <c r="B215" s="73"/>
      <c r="C215" s="73"/>
      <c r="D215" s="73"/>
      <c r="E215" s="73"/>
      <c r="F215" s="42" t="s">
        <v>213</v>
      </c>
      <c r="G215" s="164" t="s">
        <v>26</v>
      </c>
      <c r="H215" s="153" t="n">
        <v>6</v>
      </c>
      <c r="I215" s="165" t="n">
        <v>1</v>
      </c>
      <c r="J215" s="165" t="n">
        <v>1</v>
      </c>
      <c r="K215" s="166" t="n">
        <v>552.3</v>
      </c>
      <c r="L215" s="166" t="n">
        <f aca="false">M215+N215</f>
        <v>0</v>
      </c>
      <c r="M215" s="166"/>
      <c r="N215" s="156"/>
      <c r="O215" s="168" t="n">
        <v>7</v>
      </c>
      <c r="P215" s="166" t="n">
        <v>28509.42</v>
      </c>
      <c r="Q215" s="166" t="n">
        <f aca="false">R215+S215</f>
        <v>34681.92</v>
      </c>
      <c r="R215" s="166" t="n">
        <f aca="false">19875.62+8633.8</f>
        <v>28509.42</v>
      </c>
      <c r="S215" s="156" t="n">
        <f aca="false">6172.5</f>
        <v>6172.5</v>
      </c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135</v>
      </c>
      <c r="C216" s="19" t="s">
        <v>20</v>
      </c>
      <c r="D216" s="19"/>
      <c r="E216" s="19" t="s">
        <v>69</v>
      </c>
      <c r="F216" s="22"/>
      <c r="G216" s="146" t="s">
        <v>22</v>
      </c>
      <c r="H216" s="159" t="n">
        <v>15</v>
      </c>
      <c r="I216" s="148" t="n">
        <v>7</v>
      </c>
      <c r="J216" s="148" t="n">
        <v>8</v>
      </c>
      <c r="K216" s="149" t="n">
        <v>17185.96</v>
      </c>
      <c r="L216" s="149" t="n">
        <f aca="false">M216+N216</f>
        <v>11754.09</v>
      </c>
      <c r="M216" s="149" t="n">
        <v>11754.09</v>
      </c>
      <c r="N216" s="190"/>
      <c r="O216" s="151" t="n">
        <v>13</v>
      </c>
      <c r="P216" s="149" t="n">
        <v>42132.95</v>
      </c>
      <c r="Q216" s="149" t="n">
        <f aca="false">R216+S216</f>
        <v>42132.95</v>
      </c>
      <c r="R216" s="149" t="n">
        <v>42132.95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277</v>
      </c>
      <c r="G217" s="152" t="s">
        <v>26</v>
      </c>
      <c r="H217" s="171" t="n">
        <v>9</v>
      </c>
      <c r="I217" s="154"/>
      <c r="J217" s="154" t="n">
        <v>2</v>
      </c>
      <c r="K217" s="155" t="n">
        <v>1409.6</v>
      </c>
      <c r="L217" s="155" t="n">
        <f aca="false">M217+N217</f>
        <v>3347.8</v>
      </c>
      <c r="M217" s="155"/>
      <c r="N217" s="156" t="n">
        <f aca="false">3347.8</f>
        <v>3347.8</v>
      </c>
      <c r="O217" s="157" t="n">
        <v>2</v>
      </c>
      <c r="P217" s="155" t="n">
        <v>2292.9</v>
      </c>
      <c r="Q217" s="155" t="n">
        <f aca="false">R217+S217</f>
        <v>792.9</v>
      </c>
      <c r="R217" s="155" t="n">
        <f aca="false">792.9</f>
        <v>792.9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33"/>
      <c r="B218" s="34" t="s">
        <v>136</v>
      </c>
      <c r="C218" s="35" t="s">
        <v>20</v>
      </c>
      <c r="D218" s="35"/>
      <c r="E218" s="35" t="s">
        <v>98</v>
      </c>
      <c r="F218" s="36"/>
      <c r="G218" s="146" t="s">
        <v>22</v>
      </c>
      <c r="H218" s="159" t="n">
        <v>24</v>
      </c>
      <c r="I218" s="160" t="n">
        <v>14</v>
      </c>
      <c r="J218" s="160" t="n">
        <v>21</v>
      </c>
      <c r="K218" s="161" t="n">
        <v>39745.81</v>
      </c>
      <c r="L218" s="161" t="n">
        <f aca="false">M218+N218</f>
        <v>27069.8</v>
      </c>
      <c r="M218" s="161" t="n">
        <v>27069.8</v>
      </c>
      <c r="N218" s="190"/>
      <c r="O218" s="163" t="n">
        <v>11</v>
      </c>
      <c r="P218" s="161" t="n">
        <v>23371.27</v>
      </c>
      <c r="Q218" s="161" t="n">
        <f aca="false">R218+S218</f>
        <v>14877.54</v>
      </c>
      <c r="R218" s="161" t="n">
        <v>14877.54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247</v>
      </c>
      <c r="G219" s="164" t="s">
        <v>23</v>
      </c>
      <c r="H219" s="171" t="n">
        <v>8</v>
      </c>
      <c r="I219" s="165" t="n">
        <v>6</v>
      </c>
      <c r="J219" s="165" t="n">
        <v>6</v>
      </c>
      <c r="K219" s="166" t="n">
        <v>4581.2</v>
      </c>
      <c r="L219" s="166" t="n">
        <f aca="false">M219+N219</f>
        <v>4052.6</v>
      </c>
      <c r="M219" s="166" t="n">
        <v>4052.6</v>
      </c>
      <c r="N219" s="156"/>
      <c r="O219" s="168" t="n">
        <v>8</v>
      </c>
      <c r="P219" s="166" t="n">
        <v>15505.6</v>
      </c>
      <c r="Q219" s="166" t="n">
        <v>14800.8</v>
      </c>
      <c r="R219" s="166" t="n">
        <v>14800.8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137</v>
      </c>
      <c r="C220" s="19" t="s">
        <v>20</v>
      </c>
      <c r="D220" s="19"/>
      <c r="E220" s="19" t="s">
        <v>25</v>
      </c>
      <c r="F220" s="20"/>
      <c r="G220" s="146" t="s">
        <v>22</v>
      </c>
      <c r="H220" s="169"/>
      <c r="I220" s="148"/>
      <c r="J220" s="148"/>
      <c r="K220" s="149"/>
      <c r="L220" s="149" t="n">
        <f aca="false">M220+N220</f>
        <v>0</v>
      </c>
      <c r="M220" s="149"/>
      <c r="N220" s="190"/>
      <c r="O220" s="151" t="n">
        <v>14</v>
      </c>
      <c r="P220" s="149" t="n">
        <v>46258.85</v>
      </c>
      <c r="Q220" s="149" t="n">
        <f aca="false">R220+S220</f>
        <v>0</v>
      </c>
      <c r="R220" s="149"/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20.25" hidden="false" customHeight="true" outlineLevel="0" collapsed="false">
      <c r="A221" s="17"/>
      <c r="B221" s="18"/>
      <c r="C221" s="18"/>
      <c r="D221" s="18"/>
      <c r="E221" s="18"/>
      <c r="F221" s="26" t="s">
        <v>286</v>
      </c>
      <c r="G221" s="152" t="s">
        <v>26</v>
      </c>
      <c r="H221" s="153" t="n">
        <v>11</v>
      </c>
      <c r="I221" s="154" t="n">
        <v>6</v>
      </c>
      <c r="J221" s="154" t="n">
        <v>6</v>
      </c>
      <c r="K221" s="155" t="n">
        <v>6431.3</v>
      </c>
      <c r="L221" s="155" t="n">
        <f aca="false">M221+N221</f>
        <v>0</v>
      </c>
      <c r="M221" s="155"/>
      <c r="N221" s="156"/>
      <c r="O221" s="157" t="n">
        <v>5</v>
      </c>
      <c r="P221" s="155"/>
      <c r="Q221" s="155" t="n">
        <f aca="false">R221+S221</f>
        <v>0</v>
      </c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138</v>
      </c>
      <c r="C222" s="56" t="s">
        <v>33</v>
      </c>
      <c r="D222" s="56" t="s">
        <v>139</v>
      </c>
      <c r="E222" s="56" t="s">
        <v>25</v>
      </c>
      <c r="F222" s="36"/>
      <c r="G222" s="146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/>
      <c r="P222" s="161"/>
      <c r="Q222" s="161" t="n">
        <f aca="false">R222+S222</f>
        <v>0</v>
      </c>
      <c r="R222" s="161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26" t="s">
        <v>214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4158.32</v>
      </c>
      <c r="L223" s="155" t="n">
        <f aca="false">M223+N223</f>
        <v>4158.32</v>
      </c>
      <c r="M223" s="155" t="n">
        <f aca="false">2466.8+1691.52</f>
        <v>4158.32</v>
      </c>
      <c r="N223" s="156"/>
      <c r="O223" s="157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140</v>
      </c>
      <c r="C224" s="35" t="s">
        <v>20</v>
      </c>
      <c r="D224" s="35"/>
      <c r="E224" s="35" t="s">
        <v>141</v>
      </c>
      <c r="F224" s="36"/>
      <c r="G224" s="146" t="s">
        <v>22</v>
      </c>
      <c r="H224" s="159" t="n">
        <v>18</v>
      </c>
      <c r="I224" s="160" t="n">
        <v>14</v>
      </c>
      <c r="J224" s="160" t="n">
        <v>21</v>
      </c>
      <c r="K224" s="161" t="n">
        <v>33782.9</v>
      </c>
      <c r="L224" s="161" t="n">
        <f aca="false">M224+N224</f>
        <v>16759.36</v>
      </c>
      <c r="M224" s="161" t="n">
        <v>16759.36</v>
      </c>
      <c r="N224" s="190"/>
      <c r="O224" s="163" t="n">
        <v>12</v>
      </c>
      <c r="P224" s="161" t="n">
        <v>72912.46</v>
      </c>
      <c r="Q224" s="161" t="n">
        <f aca="false">R224+S224</f>
        <v>65251.23</v>
      </c>
      <c r="R224" s="161" t="n">
        <v>65251.23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215</v>
      </c>
      <c r="G225" s="164" t="s">
        <v>26</v>
      </c>
      <c r="H225" s="175" t="n">
        <v>2</v>
      </c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251</v>
      </c>
      <c r="C226" s="19" t="s">
        <v>20</v>
      </c>
      <c r="D226" s="19"/>
      <c r="E226" s="19" t="s">
        <v>116</v>
      </c>
      <c r="F226" s="20"/>
      <c r="G226" s="146" t="s">
        <v>22</v>
      </c>
      <c r="H226" s="173" t="n">
        <v>6</v>
      </c>
      <c r="I226" s="148" t="n">
        <v>3</v>
      </c>
      <c r="J226" s="148" t="n">
        <v>3</v>
      </c>
      <c r="K226" s="149" t="n">
        <v>3851.92</v>
      </c>
      <c r="L226" s="166" t="n">
        <f aca="false">M226+N226</f>
        <v>3851.92</v>
      </c>
      <c r="M226" s="149" t="n">
        <v>3851.92</v>
      </c>
      <c r="N226" s="190"/>
      <c r="O226" s="206"/>
      <c r="P226" s="149"/>
      <c r="Q226" s="149"/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252</v>
      </c>
      <c r="G227" s="152" t="s">
        <v>26</v>
      </c>
      <c r="H227" s="174" t="n">
        <v>8</v>
      </c>
      <c r="I227" s="154"/>
      <c r="J227" s="154"/>
      <c r="K227" s="155"/>
      <c r="L227" s="166" t="n">
        <f aca="false">M227+N227</f>
        <v>0</v>
      </c>
      <c r="M227" s="155"/>
      <c r="N227" s="156"/>
      <c r="O227" s="209"/>
      <c r="P227" s="155"/>
      <c r="Q227" s="155"/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142</v>
      </c>
      <c r="C228" s="56" t="s">
        <v>20</v>
      </c>
      <c r="D228" s="56"/>
      <c r="E228" s="56" t="s">
        <v>25</v>
      </c>
      <c r="F228" s="36"/>
      <c r="G228" s="158" t="s">
        <v>22</v>
      </c>
      <c r="H228" s="173" t="n">
        <v>6</v>
      </c>
      <c r="I228" s="148" t="n">
        <v>5</v>
      </c>
      <c r="J228" s="148" t="n">
        <v>5</v>
      </c>
      <c r="K228" s="149" t="n">
        <v>3970.58</v>
      </c>
      <c r="L228" s="149" t="n">
        <f aca="false">M228+N228</f>
        <v>3418.28</v>
      </c>
      <c r="M228" s="149" t="n">
        <v>3418.28</v>
      </c>
      <c r="N228" s="190"/>
      <c r="O228" s="228" t="n">
        <v>6</v>
      </c>
      <c r="P228" s="161" t="n">
        <v>10969.43</v>
      </c>
      <c r="Q228" s="161" t="n">
        <f aca="false">R228+S228</f>
        <v>8844.46</v>
      </c>
      <c r="R228" s="161" t="n">
        <v>8844.46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42" t="s">
        <v>216</v>
      </c>
      <c r="G229" s="164" t="s">
        <v>26</v>
      </c>
      <c r="H229" s="177" t="n">
        <v>9</v>
      </c>
      <c r="I229" s="165" t="n">
        <v>4</v>
      </c>
      <c r="J229" s="165" t="n">
        <v>4</v>
      </c>
      <c r="K229" s="166" t="n">
        <v>8384.1</v>
      </c>
      <c r="L229" s="166" t="n">
        <f aca="false">M229+N229</f>
        <v>8384.1</v>
      </c>
      <c r="M229" s="166" t="n">
        <f aca="false">5167.21+823.59</f>
        <v>5990.8</v>
      </c>
      <c r="N229" s="167" t="n">
        <f aca="false">2393.3</f>
        <v>2393.3</v>
      </c>
      <c r="O229" s="238" t="n">
        <v>13</v>
      </c>
      <c r="P229" s="166" t="n">
        <v>8633.8</v>
      </c>
      <c r="Q229" s="166" t="n">
        <f aca="false">R229+S229</f>
        <v>8633.8</v>
      </c>
      <c r="R229" s="166" t="n">
        <f aca="false">823.59+1233.4+2819.2+3757.61</f>
        <v>8633.8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287</v>
      </c>
      <c r="C230" s="56" t="s">
        <v>20</v>
      </c>
      <c r="D230" s="19"/>
      <c r="E230" s="56" t="s">
        <v>25</v>
      </c>
      <c r="F230" s="20"/>
      <c r="G230" s="146" t="s">
        <v>22</v>
      </c>
      <c r="H230" s="147"/>
      <c r="I230" s="148"/>
      <c r="J230" s="148"/>
      <c r="K230" s="149"/>
      <c r="L230" s="149" t="n">
        <f aca="false">M230+N230</f>
        <v>0</v>
      </c>
      <c r="M230" s="149"/>
      <c r="N230" s="150"/>
      <c r="O230" s="206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288</v>
      </c>
      <c r="G231" s="152" t="s">
        <v>26</v>
      </c>
      <c r="H231" s="176" t="n">
        <v>5</v>
      </c>
      <c r="I231" s="154" t="n">
        <v>4</v>
      </c>
      <c r="J231" s="154" t="n">
        <v>4</v>
      </c>
      <c r="K231" s="155" t="n">
        <v>3876.4</v>
      </c>
      <c r="L231" s="155" t="n">
        <f aca="false">M231+N231</f>
        <v>3171.6</v>
      </c>
      <c r="M231" s="155" t="n">
        <f aca="false">3171.6</f>
        <v>3171.6</v>
      </c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33"/>
      <c r="B232" s="34" t="s">
        <v>143</v>
      </c>
      <c r="C232" s="35" t="s">
        <v>20</v>
      </c>
      <c r="D232" s="35"/>
      <c r="E232" s="35" t="s">
        <v>25</v>
      </c>
      <c r="F232" s="36"/>
      <c r="G232" s="158" t="s">
        <v>22</v>
      </c>
      <c r="H232" s="169" t="n">
        <v>1</v>
      </c>
      <c r="I232" s="160"/>
      <c r="J232" s="160"/>
      <c r="K232" s="161"/>
      <c r="L232" s="161" t="n">
        <f aca="false">M232+N232</f>
        <v>0</v>
      </c>
      <c r="M232" s="161"/>
      <c r="N232" s="190"/>
      <c r="O232" s="163" t="n">
        <v>1</v>
      </c>
      <c r="P232" s="161" t="n">
        <v>1515.67</v>
      </c>
      <c r="Q232" s="161" t="n">
        <f aca="false">R232+S232</f>
        <v>1515.67</v>
      </c>
      <c r="R232" s="161" t="n">
        <v>1515.67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42" t="s">
        <v>217</v>
      </c>
      <c r="G233" s="164" t="s">
        <v>26</v>
      </c>
      <c r="H233" s="171" t="n">
        <v>8</v>
      </c>
      <c r="I233" s="165" t="n">
        <v>4</v>
      </c>
      <c r="J233" s="165" t="n">
        <v>4</v>
      </c>
      <c r="K233" s="166" t="n">
        <v>9664.55</v>
      </c>
      <c r="L233" s="166" t="n">
        <f aca="false">M233+N233</f>
        <v>11100.6</v>
      </c>
      <c r="M233" s="166" t="n">
        <f aca="false">704.8+10395.8</f>
        <v>11100.6</v>
      </c>
      <c r="N233" s="156"/>
      <c r="O233" s="168" t="n">
        <v>9</v>
      </c>
      <c r="P233" s="166" t="n">
        <v>34775.2</v>
      </c>
      <c r="Q233" s="166" t="n">
        <f aca="false">R233+S233</f>
        <v>21496.4</v>
      </c>
      <c r="R233" s="166" t="n">
        <f aca="false">704.8+13038.8+511.81</f>
        <v>14255.41</v>
      </c>
      <c r="S233" s="156" t="n">
        <v>7240.99</v>
      </c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144</v>
      </c>
      <c r="C234" s="19" t="s">
        <v>20</v>
      </c>
      <c r="D234" s="19"/>
      <c r="E234" s="19" t="s">
        <v>81</v>
      </c>
      <c r="F234" s="20"/>
      <c r="G234" s="146" t="s">
        <v>22</v>
      </c>
      <c r="H234" s="159" t="n">
        <v>13</v>
      </c>
      <c r="I234" s="148" t="n">
        <v>8</v>
      </c>
      <c r="J234" s="148" t="n">
        <v>9</v>
      </c>
      <c r="K234" s="149" t="n">
        <v>8917.05</v>
      </c>
      <c r="L234" s="149" t="n">
        <f aca="false">M234+N234</f>
        <v>7588.94</v>
      </c>
      <c r="M234" s="149" t="n">
        <v>7588.94</v>
      </c>
      <c r="N234" s="190"/>
      <c r="O234" s="151" t="n">
        <v>6</v>
      </c>
      <c r="P234" s="149" t="n">
        <v>24751.07</v>
      </c>
      <c r="Q234" s="149" t="n">
        <f aca="false">R234+S234</f>
        <v>16284.3</v>
      </c>
      <c r="R234" s="149" t="n">
        <v>16284.3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218</v>
      </c>
      <c r="G235" s="152" t="s">
        <v>26</v>
      </c>
      <c r="H235" s="171" t="n">
        <v>7</v>
      </c>
      <c r="I235" s="154" t="n">
        <v>3</v>
      </c>
      <c r="J235" s="154" t="n">
        <v>3</v>
      </c>
      <c r="K235" s="155" t="n">
        <v>5341.3</v>
      </c>
      <c r="L235" s="155" t="n">
        <f aca="false">M235+N235</f>
        <v>5019.13</v>
      </c>
      <c r="M235" s="155" t="n">
        <f aca="false">4052.6</f>
        <v>4052.6</v>
      </c>
      <c r="N235" s="156" t="n">
        <f aca="false">966.53</f>
        <v>966.53</v>
      </c>
      <c r="O235" s="157" t="n">
        <v>2</v>
      </c>
      <c r="P235" s="155" t="s">
        <v>151</v>
      </c>
      <c r="Q235" s="155" t="n">
        <f aca="false">R235+S235</f>
        <v>4493.1</v>
      </c>
      <c r="R235" s="155" t="n">
        <f aca="false">4493.1</f>
        <v>4493.1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33"/>
      <c r="B236" s="34" t="s">
        <v>145</v>
      </c>
      <c r="C236" s="35" t="s">
        <v>20</v>
      </c>
      <c r="D236" s="35"/>
      <c r="E236" s="35" t="s">
        <v>98</v>
      </c>
      <c r="F236" s="36"/>
      <c r="G236" s="146" t="s">
        <v>22</v>
      </c>
      <c r="H236" s="169"/>
      <c r="I236" s="160"/>
      <c r="J236" s="160"/>
      <c r="K236" s="161"/>
      <c r="L236" s="161" t="n">
        <f aca="false">M236+N236</f>
        <v>0</v>
      </c>
      <c r="M236" s="161"/>
      <c r="N236" s="190"/>
      <c r="O236" s="163"/>
      <c r="P236" s="161"/>
      <c r="Q236" s="161" t="n">
        <f aca="false">R236+S236</f>
        <v>0</v>
      </c>
      <c r="R236" s="161"/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34"/>
      <c r="C237" s="34"/>
      <c r="D237" s="34"/>
      <c r="E237" s="34"/>
      <c r="F237" s="71"/>
      <c r="G237" s="164" t="s">
        <v>23</v>
      </c>
      <c r="H237" s="175"/>
      <c r="I237" s="165"/>
      <c r="J237" s="165"/>
      <c r="K237" s="166"/>
      <c r="L237" s="166" t="n">
        <f aca="false">M237+N237</f>
        <v>0</v>
      </c>
      <c r="M237" s="166"/>
      <c r="N237" s="156"/>
      <c r="O237" s="168"/>
      <c r="P237" s="166"/>
      <c r="Q237" s="166" t="n">
        <f aca="false">R237+S237</f>
        <v>0</v>
      </c>
      <c r="R237" s="166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146</v>
      </c>
      <c r="C238" s="19" t="s">
        <v>20</v>
      </c>
      <c r="D238" s="19"/>
      <c r="E238" s="19" t="s">
        <v>25</v>
      </c>
      <c r="F238" s="22"/>
      <c r="G238" s="146" t="s">
        <v>22</v>
      </c>
      <c r="H238" s="173" t="n">
        <v>12</v>
      </c>
      <c r="I238" s="148" t="n">
        <v>9</v>
      </c>
      <c r="J238" s="148" t="n">
        <v>11</v>
      </c>
      <c r="K238" s="149" t="n">
        <v>13677.7</v>
      </c>
      <c r="L238" s="149" t="n">
        <f aca="false">M238+N238</f>
        <v>10138.98</v>
      </c>
      <c r="M238" s="149" t="n">
        <v>10138.98</v>
      </c>
      <c r="N238" s="190"/>
      <c r="O238" s="206" t="n">
        <v>2</v>
      </c>
      <c r="P238" s="149" t="n">
        <v>15606.38</v>
      </c>
      <c r="Q238" s="149" t="n">
        <f aca="false">R238+S238</f>
        <v>15606.38</v>
      </c>
      <c r="R238" s="149" t="n">
        <v>15606.38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42" t="s">
        <v>219</v>
      </c>
      <c r="G239" s="164" t="s">
        <v>26</v>
      </c>
      <c r="H239" s="178" t="n">
        <v>5</v>
      </c>
      <c r="I239" s="165" t="n">
        <v>2</v>
      </c>
      <c r="J239" s="165" t="n">
        <v>2</v>
      </c>
      <c r="K239" s="166" t="n">
        <v>3150.65</v>
      </c>
      <c r="L239" s="166" t="n">
        <f aca="false">M239+N239</f>
        <v>1585.8</v>
      </c>
      <c r="M239" s="166" t="n">
        <f aca="false">1585.8</f>
        <v>1585.8</v>
      </c>
      <c r="N239" s="167"/>
      <c r="O239" s="238" t="n">
        <v>1</v>
      </c>
      <c r="P239" s="166" t="n">
        <v>1585.8</v>
      </c>
      <c r="Q239" s="166" t="n">
        <f aca="false">R239+S239</f>
        <v>1585.8</v>
      </c>
      <c r="R239" s="166" t="n">
        <v>1585.8</v>
      </c>
      <c r="S239" s="167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17"/>
      <c r="B240" s="18" t="s">
        <v>289</v>
      </c>
      <c r="C240" s="19"/>
      <c r="D240" s="19"/>
      <c r="E240" s="19"/>
      <c r="F240" s="20"/>
      <c r="G240" s="146" t="s">
        <v>22</v>
      </c>
      <c r="H240" s="173" t="n">
        <v>5</v>
      </c>
      <c r="I240" s="148" t="n">
        <v>4</v>
      </c>
      <c r="J240" s="148" t="n">
        <v>7</v>
      </c>
      <c r="K240" s="149" t="n">
        <v>7648.67</v>
      </c>
      <c r="L240" s="149" t="n">
        <f aca="false">M240+N240</f>
        <v>2643</v>
      </c>
      <c r="M240" s="149" t="n">
        <v>2643</v>
      </c>
      <c r="N240" s="224"/>
      <c r="O240" s="151"/>
      <c r="P240" s="149"/>
      <c r="Q240" s="149" t="n">
        <f aca="false">R240+S240</f>
        <v>0</v>
      </c>
      <c r="R240" s="149"/>
      <c r="S240" s="15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57"/>
      <c r="G241" s="152" t="s">
        <v>23</v>
      </c>
      <c r="H241" s="174" t="n">
        <v>2</v>
      </c>
      <c r="I241" s="154" t="n">
        <v>1</v>
      </c>
      <c r="J241" s="154" t="n">
        <v>1</v>
      </c>
      <c r="K241" s="155" t="n">
        <v>2325.84</v>
      </c>
      <c r="L241" s="155" t="n">
        <v>2325.84</v>
      </c>
      <c r="M241" s="155" t="n">
        <v>2325.84</v>
      </c>
      <c r="N241" s="226"/>
      <c r="O241" s="157"/>
      <c r="P241" s="155"/>
      <c r="Q241" s="155" t="n">
        <f aca="false">R241+S241</f>
        <v>0</v>
      </c>
      <c r="R241" s="155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54"/>
      <c r="B242" s="55" t="s">
        <v>147</v>
      </c>
      <c r="C242" s="56" t="s">
        <v>20</v>
      </c>
      <c r="D242" s="56"/>
      <c r="E242" s="56" t="s">
        <v>25</v>
      </c>
      <c r="F242" s="97"/>
      <c r="G242" s="158" t="s">
        <v>22</v>
      </c>
      <c r="H242" s="159" t="n">
        <v>4</v>
      </c>
      <c r="I242" s="160" t="n">
        <v>3</v>
      </c>
      <c r="J242" s="160" t="n">
        <v>3</v>
      </c>
      <c r="K242" s="161" t="n">
        <v>2093.26</v>
      </c>
      <c r="L242" s="161" t="n">
        <f aca="false">M242+N242</f>
        <v>2093.26</v>
      </c>
      <c r="M242" s="161" t="n">
        <v>2093.26</v>
      </c>
      <c r="N242" s="190"/>
      <c r="O242" s="163" t="n">
        <v>5</v>
      </c>
      <c r="P242" s="161" t="n">
        <v>18277.74</v>
      </c>
      <c r="Q242" s="161" t="n">
        <f aca="false">R242+S242</f>
        <v>16436.74</v>
      </c>
      <c r="R242" s="161" t="n">
        <v>16436.74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54"/>
      <c r="B243" s="55"/>
      <c r="C243" s="55"/>
      <c r="D243" s="55"/>
      <c r="E243" s="55"/>
      <c r="F243" s="42" t="s">
        <v>220</v>
      </c>
      <c r="G243" s="164" t="s">
        <v>26</v>
      </c>
      <c r="H243" s="172" t="n">
        <v>12</v>
      </c>
      <c r="I243" s="165" t="n">
        <v>2</v>
      </c>
      <c r="J243" s="165" t="n">
        <v>3</v>
      </c>
      <c r="K243" s="166" t="n">
        <v>9162.4</v>
      </c>
      <c r="L243" s="189" t="n">
        <f aca="false">M243+N243</f>
        <v>4228.8</v>
      </c>
      <c r="M243" s="166" t="n">
        <f aca="false">528.6+3700.2</f>
        <v>4228.8</v>
      </c>
      <c r="N243" s="167"/>
      <c r="O243" s="168" t="n">
        <v>5</v>
      </c>
      <c r="P243" s="166" t="n">
        <v>18677.2</v>
      </c>
      <c r="Q243" s="189" t="n">
        <f aca="false">R243+S243</f>
        <v>18677.2</v>
      </c>
      <c r="R243" s="166" t="n">
        <f aca="false">7048+528.6+5638.4+5462.2</f>
        <v>18677.2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17"/>
      <c r="B244" s="18" t="s">
        <v>297</v>
      </c>
      <c r="C244" s="19"/>
      <c r="D244" s="19"/>
      <c r="E244" s="19" t="s">
        <v>25</v>
      </c>
      <c r="F244" s="22"/>
      <c r="G244" s="146" t="s">
        <v>22</v>
      </c>
      <c r="H244" s="173" t="n">
        <v>3</v>
      </c>
      <c r="I244" s="148"/>
      <c r="J244" s="148"/>
      <c r="K244" s="149"/>
      <c r="L244" s="149" t="n">
        <f aca="false">M244+N244</f>
        <v>0</v>
      </c>
      <c r="M244" s="149"/>
      <c r="N244" s="150"/>
      <c r="O244" s="206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17"/>
      <c r="B245" s="18"/>
      <c r="C245" s="18"/>
      <c r="D245" s="18"/>
      <c r="E245" s="18"/>
      <c r="F245" s="26"/>
      <c r="G245" s="152" t="s">
        <v>26</v>
      </c>
      <c r="H245" s="174"/>
      <c r="I245" s="154"/>
      <c r="J245" s="154"/>
      <c r="K245" s="155"/>
      <c r="L245" s="155" t="n">
        <f aca="false">M245+N245</f>
        <v>0</v>
      </c>
      <c r="M245" s="155"/>
      <c r="N245" s="156"/>
      <c r="O245" s="209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54"/>
      <c r="B246" s="55" t="s">
        <v>148</v>
      </c>
      <c r="C246" s="56" t="s">
        <v>20</v>
      </c>
      <c r="D246" s="56"/>
      <c r="E246" s="56" t="s">
        <v>21</v>
      </c>
      <c r="F246" s="38"/>
      <c r="G246" s="158" t="s">
        <v>22</v>
      </c>
      <c r="H246" s="159" t="n">
        <v>2</v>
      </c>
      <c r="I246" s="160" t="n">
        <v>1</v>
      </c>
      <c r="J246" s="160" t="n">
        <v>1</v>
      </c>
      <c r="K246" s="161" t="n">
        <v>436.1</v>
      </c>
      <c r="L246" s="161" t="n">
        <f aca="false">M246+N246</f>
        <v>436.1</v>
      </c>
      <c r="M246" s="161" t="n">
        <v>436.1</v>
      </c>
      <c r="N246" s="190"/>
      <c r="O246" s="163" t="n">
        <v>1</v>
      </c>
      <c r="P246" s="161" t="n">
        <v>13232.99</v>
      </c>
      <c r="Q246" s="161" t="n">
        <f aca="false">R246+S246</f>
        <v>13232.99</v>
      </c>
      <c r="R246" s="161" t="n">
        <v>13232.99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55"/>
      <c r="C247" s="55"/>
      <c r="D247" s="55"/>
      <c r="E247" s="55"/>
      <c r="F247" s="26" t="s">
        <v>248</v>
      </c>
      <c r="G247" s="152" t="s">
        <v>23</v>
      </c>
      <c r="H247" s="171" t="n">
        <v>2</v>
      </c>
      <c r="I247" s="154"/>
      <c r="J247" s="154"/>
      <c r="K247" s="155"/>
      <c r="L247" s="155" t="n">
        <f aca="false">M247+N247</f>
        <v>0</v>
      </c>
      <c r="M247" s="155"/>
      <c r="N247" s="156"/>
      <c r="O247" s="157" t="n">
        <v>1</v>
      </c>
      <c r="P247" s="155" t="n">
        <v>572.65</v>
      </c>
      <c r="Q247" s="155" t="n">
        <v>572.65</v>
      </c>
      <c r="R247" s="155" t="n">
        <v>572.65</v>
      </c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.75" hidden="false" customHeight="true" outlineLevel="0" collapsed="false">
      <c r="A248" s="99"/>
      <c r="B248" s="100" t="s">
        <v>149</v>
      </c>
      <c r="C248" s="100"/>
      <c r="D248" s="100"/>
      <c r="E248" s="100"/>
      <c r="F248" s="100"/>
      <c r="G248" s="212"/>
      <c r="H248" s="213" t="n">
        <f aca="false">SUM(H9:H247)</f>
        <v>1975</v>
      </c>
      <c r="I248" s="214" t="n">
        <f aca="false">SUM(I9:I247)</f>
        <v>1221</v>
      </c>
      <c r="J248" s="214" t="n">
        <f aca="false">SUM(J9:J247)</f>
        <v>1434</v>
      </c>
      <c r="K248" s="215" t="n">
        <f aca="false">SUM(K9:K247)</f>
        <v>2342372.53</v>
      </c>
      <c r="L248" s="215" t="n">
        <f aca="false">SUM(L9:L247)</f>
        <v>1719154.14</v>
      </c>
      <c r="M248" s="215" t="n">
        <f aca="false">SUM(M9:M247)</f>
        <v>1416076.27</v>
      </c>
      <c r="N248" s="243" t="n">
        <f aca="false">SUM(N9:N247)</f>
        <v>362549.3</v>
      </c>
      <c r="O248" s="244" t="n">
        <f aca="false">SUM(O9:O247)</f>
        <v>1096</v>
      </c>
      <c r="P248" s="245" t="n">
        <f aca="false">SUM(P9:P247)</f>
        <v>3777379.54</v>
      </c>
      <c r="Q248" s="245" t="n">
        <f aca="false">SUM(Q9:Q247)</f>
        <v>3197321</v>
      </c>
      <c r="R248" s="245" t="n">
        <f aca="false">SUM(R9:R247)</f>
        <v>2871746.61</v>
      </c>
      <c r="S248" s="246" t="n">
        <f aca="false">SUM(S9:S247)</f>
        <v>372232.26</v>
      </c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 t="s">
        <v>290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true" outlineLevel="0" collapsed="false">
      <c r="A252" s="2"/>
      <c r="B252" s="2"/>
      <c r="C252" s="2"/>
      <c r="D252" s="2"/>
      <c r="E252" s="2"/>
      <c r="F252" s="103"/>
      <c r="G252" s="104" t="s">
        <v>5</v>
      </c>
      <c r="H252" s="104"/>
      <c r="I252" s="104"/>
      <c r="J252" s="104"/>
      <c r="K252" s="104"/>
      <c r="L252" s="104"/>
      <c r="M252" s="104"/>
      <c r="N252" s="104" t="s">
        <v>6</v>
      </c>
      <c r="O252" s="104"/>
      <c r="P252" s="104"/>
      <c r="Q252" s="104"/>
      <c r="R252" s="104"/>
      <c r="S252" s="105" t="s">
        <v>150</v>
      </c>
      <c r="T252" s="105" t="s">
        <v>253</v>
      </c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103"/>
      <c r="G253" s="106" t="s">
        <v>13</v>
      </c>
      <c r="H253" s="106" t="s">
        <v>14</v>
      </c>
      <c r="I253" s="106" t="s">
        <v>15</v>
      </c>
      <c r="J253" s="106" t="s">
        <v>226</v>
      </c>
      <c r="K253" s="106" t="s">
        <v>16</v>
      </c>
      <c r="L253" s="106" t="s">
        <v>17</v>
      </c>
      <c r="M253" s="106" t="s">
        <v>18</v>
      </c>
      <c r="N253" s="106" t="s">
        <v>15</v>
      </c>
      <c r="O253" s="106" t="s">
        <v>226</v>
      </c>
      <c r="P253" s="106" t="s">
        <v>16</v>
      </c>
      <c r="Q253" s="106" t="s">
        <v>17</v>
      </c>
      <c r="R253" s="106" t="s">
        <v>18</v>
      </c>
      <c r="S253" s="105"/>
      <c r="T253" s="105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107" t="s">
        <v>22</v>
      </c>
      <c r="G254" s="108" t="n">
        <f aca="false">SUMIF($G$9:$G$247,$F$254,H9:H247)</f>
        <v>1318</v>
      </c>
      <c r="H254" s="108" t="n">
        <f aca="false">SUMIF($G$9:$G$247,$F$254,I9:I247)</f>
        <v>922</v>
      </c>
      <c r="I254" s="108" t="n">
        <f aca="false">SUMIF($G$9:$G$247,$F$254,J9:J247)</f>
        <v>1131</v>
      </c>
      <c r="J254" s="110" t="n">
        <f aca="false">SUMIF($G$9:$G$247,F254,$K$9:$K$247)</f>
        <v>1866571.92</v>
      </c>
      <c r="K254" s="110" t="n">
        <f aca="false">SUMIF($G$9:$G$247,$F$254,L9:L247)</f>
        <v>1396718.24</v>
      </c>
      <c r="L254" s="110" t="n">
        <f aca="false">SUMIF($G$9:$G$247,$F$254,M9:M247)</f>
        <v>1161828.62</v>
      </c>
      <c r="M254" s="110" t="n">
        <f aca="false">SUMIF($G$9:$G$247,$F$254,N9:N247)</f>
        <v>234889.62</v>
      </c>
      <c r="N254" s="108" t="n">
        <f aca="false">SUMIF($G$9:$G$247,$F$254,O9:O247)</f>
        <v>725</v>
      </c>
      <c r="O254" s="110" t="n">
        <f aca="false">SUMIF($G$9:$G$247,F254,$P$9:$P$247)</f>
        <v>3001895.01</v>
      </c>
      <c r="P254" s="110" t="n">
        <f aca="false">SUMIF($G$9:$G$247,$F$254,Q9:Q247)</f>
        <v>2374723.43</v>
      </c>
      <c r="Q254" s="110" t="n">
        <f aca="false">SUMIF($G$9:$G$247,$F$254,R9:R247)</f>
        <v>2215256.28</v>
      </c>
      <c r="R254" s="110" t="n">
        <f aca="false">SUMIF($G$9:$G$247,$F$254,S9:S247)</f>
        <v>159467.15</v>
      </c>
      <c r="S254" s="110" t="n">
        <f aca="false">Q254+L254</f>
        <v>3377084.9</v>
      </c>
      <c r="T254" s="111" t="n">
        <f aca="false">J254-L254+O254-Q254</f>
        <v>1491382.03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7" t="s">
        <v>26</v>
      </c>
      <c r="G255" s="108" t="n">
        <f aca="false">SUMIF($G$9:$G$247,$F$255,H9:H247)</f>
        <v>421</v>
      </c>
      <c r="H255" s="108" t="n">
        <f aca="false">SUMIF($G$9:$G$247,$F$255,I9:I247)</f>
        <v>164</v>
      </c>
      <c r="I255" s="108" t="n">
        <f aca="false">SUMIF($G$9:$G$247,$F$255,J9:J247)</f>
        <v>168</v>
      </c>
      <c r="J255" s="110" t="n">
        <f aca="false">SUMIF($G$9:$G$247,F255,$K$9:$K$247)</f>
        <v>318634.81</v>
      </c>
      <c r="K255" s="110" t="n">
        <f aca="false">SUMIF($G$9:$G$247,$F$255,L9:L247)</f>
        <v>234136.23</v>
      </c>
      <c r="L255" s="110" t="n">
        <f aca="false">SUMIF($G$9:$G$247,$F$255,M9:M247)</f>
        <v>174158.84</v>
      </c>
      <c r="M255" s="110" t="n">
        <f aca="false">SUMIF($G$9:$G$247,$F$255,N9:N247)</f>
        <v>64206.19</v>
      </c>
      <c r="N255" s="108" t="n">
        <f aca="false">SUMIF($G$9:$G$247,$F$255,O9:O247)</f>
        <v>253</v>
      </c>
      <c r="O255" s="110" t="n">
        <f aca="false">SUMIF($G$9:$G$247,F255,$P$9:$P$247)</f>
        <v>548193.01</v>
      </c>
      <c r="P255" s="110" t="n">
        <f aca="false">SUMIF($G$9:$G$247,$F$255,Q9:Q247)</f>
        <v>675420.4</v>
      </c>
      <c r="Q255" s="110" t="n">
        <f aca="false">SUMIF($G$9:$G$247,$F$255,R9:R247)</f>
        <v>509313.16</v>
      </c>
      <c r="R255" s="110" t="n">
        <f aca="false">SUMIF($G$9:$G$247,$F$255,S9:S247)</f>
        <v>166107.24</v>
      </c>
      <c r="S255" s="110" t="n">
        <f aca="false">Q255+L255</f>
        <v>683472</v>
      </c>
      <c r="T255" s="111" t="n">
        <f aca="false">J255-L255+O255-Q255</f>
        <v>183355.82</v>
      </c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23</v>
      </c>
      <c r="G256" s="108" t="n">
        <f aca="false">SUMIF($G$9:$G$247,$F$256,H9:H247)</f>
        <v>236</v>
      </c>
      <c r="H256" s="108" t="n">
        <f aca="false">SUMIF($G$9:$G$247,$F$256,I9:I247)</f>
        <v>135</v>
      </c>
      <c r="I256" s="108" t="n">
        <f aca="false">SUMIF($G$9:$G$247,$F$256,J9:J247)</f>
        <v>135</v>
      </c>
      <c r="J256" s="110" t="n">
        <f aca="false">SUMIF($G$9:$G$247,F256,$K$9:$K$247)</f>
        <v>157165.8</v>
      </c>
      <c r="K256" s="110" t="n">
        <f aca="false">SUMIF($G$9:$G$247,$F$256,L9:L247)</f>
        <v>88299.67</v>
      </c>
      <c r="L256" s="110" t="n">
        <f aca="false">SUMIF($G$9:$G$247,$F$256,M9:M247)</f>
        <v>80088.81</v>
      </c>
      <c r="M256" s="110" t="n">
        <f aca="false">SUMIF($G$9:$G$247,$F$256,N9:N247)</f>
        <v>63453.49</v>
      </c>
      <c r="N256" s="108" t="n">
        <f aca="false">SUMIF($G$9:$G$247,$F$256,O9:O247)</f>
        <v>118</v>
      </c>
      <c r="O256" s="110" t="n">
        <f aca="false">SUMIF($G$9:$G$247,F256,$P$9:$P$247)</f>
        <v>227291.52</v>
      </c>
      <c r="P256" s="110" t="n">
        <f aca="false">SUMIF($G$9:$G$247,$F$256,Q9:Q247)</f>
        <v>147177.17</v>
      </c>
      <c r="Q256" s="110" t="n">
        <f aca="false">SUMIF($G$9:$G$247,$F$256,R9:R247)</f>
        <v>147177.17</v>
      </c>
      <c r="R256" s="110" t="n">
        <f aca="false">SUMIF($G$9:$G$247,$F$256,S9:S247)</f>
        <v>46657.87</v>
      </c>
      <c r="S256" s="110" t="n">
        <f aca="false">Q256+L256</f>
        <v>227265.98</v>
      </c>
      <c r="T256" s="111" t="n">
        <f aca="false">J256-L256+O256-Q256</f>
        <v>157191.34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16" t="n">
        <f aca="false">G256+G255+G254</f>
        <v>1975</v>
      </c>
      <c r="H257" s="216" t="n">
        <f aca="false">H256+H255+H254</f>
        <v>1221</v>
      </c>
      <c r="I257" s="216" t="n">
        <f aca="false">I256+I255+I254</f>
        <v>1434</v>
      </c>
      <c r="J257" s="217" t="n">
        <f aca="false">J256+J255+J254</f>
        <v>2342372.53</v>
      </c>
      <c r="K257" s="217" t="n">
        <f aca="false">K256+K255+K254</f>
        <v>1719154.14</v>
      </c>
      <c r="L257" s="217" t="n">
        <f aca="false">L256+L255+L254</f>
        <v>1416076.27</v>
      </c>
      <c r="M257" s="217" t="n">
        <f aca="false">M256+M255+M254</f>
        <v>362549.3</v>
      </c>
      <c r="N257" s="216" t="n">
        <f aca="false">N256+N255+N254</f>
        <v>1096</v>
      </c>
      <c r="O257" s="217" t="n">
        <f aca="false">O256+O255+O254</f>
        <v>3777379.54</v>
      </c>
      <c r="P257" s="217" t="n">
        <f aca="false">P256+P255+P254</f>
        <v>3197321</v>
      </c>
      <c r="Q257" s="217" t="n">
        <f aca="false">Q256+Q255+Q254</f>
        <v>2871746.61</v>
      </c>
      <c r="R257" s="217" t="n">
        <f aca="false">R256+R255+R254</f>
        <v>372232.26</v>
      </c>
      <c r="S257" s="217" t="n">
        <f aca="false">S256+S255+S254</f>
        <v>4287822.88</v>
      </c>
      <c r="T257" s="217" t="n">
        <f aca="false">T256+T255+T254</f>
        <v>1831929.19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F318" s="0" t="s">
        <v>22</v>
      </c>
      <c r="G318" s="0" t="n">
        <v>1318</v>
      </c>
      <c r="H318" s="247" t="n">
        <v>922</v>
      </c>
      <c r="I318" s="247" t="n">
        <v>1131</v>
      </c>
      <c r="J318" s="0" t="n">
        <v>1866571.92</v>
      </c>
      <c r="K318" s="236"/>
      <c r="N318" s="0" t="n">
        <v>725</v>
      </c>
      <c r="O318" s="0" t="n">
        <v>3001895.01</v>
      </c>
    </row>
    <row r="319" customFormat="false" ht="15" hidden="false" customHeight="false" outlineLevel="0" collapsed="false">
      <c r="G319" s="221" t="n">
        <f aca="false">G254-G318</f>
        <v>0</v>
      </c>
      <c r="H319" s="221" t="n">
        <f aca="false">H254-H318</f>
        <v>0</v>
      </c>
      <c r="I319" s="221" t="n">
        <f aca="false">I254-I318</f>
        <v>0</v>
      </c>
      <c r="J319" s="229" t="n">
        <f aca="false">J254-J318</f>
        <v>0</v>
      </c>
      <c r="K319" s="236"/>
      <c r="N319" s="221" t="n">
        <f aca="false">N254-N318</f>
        <v>0</v>
      </c>
      <c r="O319" s="229" t="n">
        <f aca="false">O254-O318</f>
        <v>0</v>
      </c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</sheetData>
  <mergeCells count="59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9"/>
    <mergeCell ref="B177:B179"/>
    <mergeCell ref="C177:C179"/>
    <mergeCell ref="D177:D179"/>
    <mergeCell ref="E177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B186:B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F252:F253"/>
    <mergeCell ref="G252:M252"/>
    <mergeCell ref="N252:R252"/>
    <mergeCell ref="S252:S253"/>
    <mergeCell ref="T252:T25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2</v>
      </c>
      <c r="P10" s="166" t="n">
        <v>1305.3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25</v>
      </c>
      <c r="I11" s="160" t="n">
        <v>17</v>
      </c>
      <c r="J11" s="160" t="n">
        <v>29</v>
      </c>
      <c r="K11" s="161" t="n">
        <v>58793.86</v>
      </c>
      <c r="L11" s="161" t="n">
        <f aca="false">M11+N11</f>
        <v>58793.86</v>
      </c>
      <c r="M11" s="161" t="n">
        <v>58793.86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5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27</v>
      </c>
      <c r="I13" s="148" t="n">
        <v>23</v>
      </c>
      <c r="J13" s="148" t="n">
        <v>34</v>
      </c>
      <c r="K13" s="149" t="n">
        <v>47749.23</v>
      </c>
      <c r="L13" s="149" t="n">
        <f aca="false">M13+N13</f>
        <v>47749.23</v>
      </c>
      <c r="M13" s="149" t="n">
        <v>47749.23</v>
      </c>
      <c r="N13" s="249"/>
      <c r="O13" s="228" t="n">
        <v>6</v>
      </c>
      <c r="P13" s="161" t="n">
        <v>14938.98</v>
      </c>
      <c r="Q13" s="161" t="n">
        <f aca="false">R13+S13</f>
        <v>14938.98</v>
      </c>
      <c r="R13" s="161" t="n">
        <v>14938.98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11593.96</v>
      </c>
      <c r="M14" s="155" t="n">
        <f aca="false">1938.2+5638.4</f>
        <v>7576.6</v>
      </c>
      <c r="N14" s="156" t="n">
        <f aca="false">4017.36</f>
        <v>4017.36</v>
      </c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9801.6</v>
      </c>
      <c r="R15" s="149" t="n">
        <v>7224.2</v>
      </c>
      <c r="S15" s="198" t="n">
        <v>2577.4</v>
      </c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31011.2</v>
      </c>
      <c r="R16" s="166" t="n">
        <v>23434.6</v>
      </c>
      <c r="S16" s="167" t="n">
        <f aca="false">7576.6</f>
        <v>7576.6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7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3</v>
      </c>
      <c r="J20" s="154" t="n">
        <v>3</v>
      </c>
      <c r="K20" s="155" t="n">
        <v>2828.1</v>
      </c>
      <c r="L20" s="155" t="n">
        <f aca="false">M20+N20</f>
        <v>1363.4</v>
      </c>
      <c r="M20" s="155" t="n">
        <f aca="false">704.8</f>
        <v>704.8</v>
      </c>
      <c r="N20" s="226" t="n">
        <v>658.6</v>
      </c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14</v>
      </c>
      <c r="J21" s="160" t="n">
        <v>16</v>
      </c>
      <c r="K21" s="161" t="n">
        <v>21199.65</v>
      </c>
      <c r="L21" s="161" t="n">
        <f aca="false">M21+N21</f>
        <v>14830.79</v>
      </c>
      <c r="M21" s="161" t="n">
        <v>14830.79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0</v>
      </c>
      <c r="M22" s="155"/>
      <c r="N22" s="156"/>
      <c r="O22" s="157" t="n">
        <v>4</v>
      </c>
      <c r="P22" s="155"/>
      <c r="Q22" s="155" t="n">
        <f aca="false">R22+S22</f>
        <v>4052.6</v>
      </c>
      <c r="R22" s="155"/>
      <c r="S22" s="167" t="n">
        <f aca="false">4052.6</f>
        <v>4052.6</v>
      </c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23</v>
      </c>
      <c r="J23" s="160" t="n">
        <v>37</v>
      </c>
      <c r="K23" s="161" t="n">
        <v>50485.39</v>
      </c>
      <c r="L23" s="161" t="n">
        <f aca="false">M23+N23</f>
        <v>36599.36</v>
      </c>
      <c r="M23" s="161" t="n">
        <v>36599.36</v>
      </c>
      <c r="N23" s="190"/>
      <c r="O23" s="151" t="n">
        <v>24</v>
      </c>
      <c r="P23" s="149" t="n">
        <v>51971.06</v>
      </c>
      <c r="Q23" s="149" t="n">
        <f aca="false">R23+S23</f>
        <v>47120.13</v>
      </c>
      <c r="R23" s="149" t="n">
        <v>47120.13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4</v>
      </c>
      <c r="P24" s="155" t="n">
        <v>5462.2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23</v>
      </c>
      <c r="I25" s="148" t="n">
        <v>19</v>
      </c>
      <c r="J25" s="148" t="n">
        <v>19</v>
      </c>
      <c r="K25" s="148" t="n">
        <v>7775.37</v>
      </c>
      <c r="L25" s="149" t="n">
        <f aca="false">M25+N25</f>
        <v>6570.82</v>
      </c>
      <c r="M25" s="149" t="n">
        <v>6570.82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5</v>
      </c>
      <c r="I26" s="154" t="n">
        <v>5</v>
      </c>
      <c r="J26" s="154" t="n">
        <v>5</v>
      </c>
      <c r="K26" s="155" t="n">
        <v>8773.6</v>
      </c>
      <c r="L26" s="155" t="n">
        <f aca="false">M26+N26</f>
        <v>5483.5</v>
      </c>
      <c r="M26" s="155"/>
      <c r="N26" s="156" t="n">
        <f aca="false">5483.5</f>
        <v>5483.5</v>
      </c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25</v>
      </c>
      <c r="I27" s="160" t="n">
        <v>24</v>
      </c>
      <c r="J27" s="160" t="n">
        <v>37</v>
      </c>
      <c r="K27" s="161" t="n">
        <v>68607.98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7</v>
      </c>
      <c r="I28" s="165" t="n">
        <v>4</v>
      </c>
      <c r="J28" s="165" t="n">
        <v>4</v>
      </c>
      <c r="K28" s="166" t="n">
        <v>3126.95</v>
      </c>
      <c r="L28" s="166" t="n">
        <f aca="false">M28+N28</f>
        <v>3126.95</v>
      </c>
      <c r="M28" s="166" t="n">
        <f aca="false">1409.6</f>
        <v>1409.6</v>
      </c>
      <c r="N28" s="156" t="n">
        <v>1717.35</v>
      </c>
      <c r="O28" s="157" t="n">
        <v>13</v>
      </c>
      <c r="P28" s="155" t="n">
        <v>35550.2</v>
      </c>
      <c r="Q28" s="155" t="n">
        <v>35550.2</v>
      </c>
      <c r="R28" s="155" t="n">
        <v>35550.2</v>
      </c>
      <c r="S28" s="156" t="n">
        <f aca="false">4581.2+2600.8</f>
        <v>7182</v>
      </c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72242.1</v>
      </c>
      <c r="R30" s="166" t="n">
        <v>44754.9</v>
      </c>
      <c r="S30" s="167" t="n">
        <f aca="false">27487.2</f>
        <v>27487.2</v>
      </c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3</v>
      </c>
      <c r="J34" s="165" t="n">
        <v>3</v>
      </c>
      <c r="K34" s="166" t="n">
        <v>8105.2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21061.64</v>
      </c>
      <c r="M37" s="161" t="n">
        <v>16153.14</v>
      </c>
      <c r="N37" s="190" t="n">
        <v>4908.5</v>
      </c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9</v>
      </c>
      <c r="I38" s="154" t="n">
        <v>6</v>
      </c>
      <c r="J38" s="154" t="n">
        <v>6</v>
      </c>
      <c r="K38" s="155" t="n">
        <v>10577.5</v>
      </c>
      <c r="L38" s="155" t="n">
        <f aca="false">M38+N38</f>
        <v>9196.75</v>
      </c>
      <c r="M38" s="155" t="n">
        <f aca="false">704.8+4405</f>
        <v>5109.8</v>
      </c>
      <c r="N38" s="156" t="n">
        <f aca="false">4086.95</f>
        <v>4086.95</v>
      </c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14</v>
      </c>
      <c r="J41" s="160" t="n">
        <v>20</v>
      </c>
      <c r="K41" s="161" t="n">
        <v>38560.9</v>
      </c>
      <c r="L41" s="161" t="n">
        <f aca="false">M41+N41</f>
        <v>38560.9</v>
      </c>
      <c r="M41" s="161" t="n">
        <v>18145.63</v>
      </c>
      <c r="N41" s="190" t="n">
        <v>20415.27</v>
      </c>
      <c r="O41" s="151" t="n">
        <v>13</v>
      </c>
      <c r="P41" s="149" t="n">
        <v>118843.98</v>
      </c>
      <c r="Q41" s="149" t="n">
        <f aca="false">R41+S41</f>
        <v>118843.98</v>
      </c>
      <c r="R41" s="149" t="n">
        <v>39637.95</v>
      </c>
      <c r="S41" s="198" t="n">
        <v>79206.03</v>
      </c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17</v>
      </c>
      <c r="I43" s="160" t="n">
        <v>13</v>
      </c>
      <c r="J43" s="160" t="n">
        <v>17</v>
      </c>
      <c r="K43" s="161" t="n">
        <v>38659.66</v>
      </c>
      <c r="L43" s="161" t="n">
        <f aca="false">M43+N43</f>
        <v>36053.18</v>
      </c>
      <c r="M43" s="161" t="n">
        <v>27872.38</v>
      </c>
      <c r="N43" s="190" t="n">
        <v>8180.8</v>
      </c>
      <c r="O43" s="151" t="n">
        <v>16</v>
      </c>
      <c r="P43" s="149" t="n">
        <v>56737.45</v>
      </c>
      <c r="Q43" s="149" t="n">
        <f aca="false">R43+S43</f>
        <v>56737.45</v>
      </c>
      <c r="R43" s="149" t="n">
        <v>55419.47</v>
      </c>
      <c r="S43" s="198" t="n">
        <v>1317.98</v>
      </c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5</v>
      </c>
      <c r="P46" s="166" t="n">
        <v>15452.4</v>
      </c>
      <c r="Q46" s="166" t="n">
        <v>15452.4</v>
      </c>
      <c r="R46" s="166" t="n">
        <v>15452.4</v>
      </c>
      <c r="S46" s="167" t="n">
        <v>4602.5</v>
      </c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/>
      <c r="N47" s="190" t="n">
        <v>352.4</v>
      </c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6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1233.4</v>
      </c>
      <c r="M48" s="155" t="n">
        <f aca="false">1233.4</f>
        <v>1233.4</v>
      </c>
      <c r="N48" s="156"/>
      <c r="O48" s="157" t="n">
        <v>5</v>
      </c>
      <c r="P48" s="155" t="n">
        <v>13567.4</v>
      </c>
      <c r="Q48" s="155" t="n">
        <f aca="false">R48+S48</f>
        <v>13567.4</v>
      </c>
      <c r="R48" s="155" t="n">
        <f aca="false">528.6+11453+1585.8</f>
        <v>13567.4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5976.7</v>
      </c>
      <c r="N51" s="190" t="n">
        <v>3024.77</v>
      </c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54</v>
      </c>
      <c r="I53" s="148" t="n">
        <v>49</v>
      </c>
      <c r="J53" s="148" t="n">
        <v>50</v>
      </c>
      <c r="K53" s="149" t="n">
        <v>52161.51</v>
      </c>
      <c r="L53" s="149" t="n">
        <f aca="false">M53+N53</f>
        <v>51553.98</v>
      </c>
      <c r="M53" s="149" t="n">
        <v>39470.47</v>
      </c>
      <c r="N53" s="190" t="n">
        <v>12083.51</v>
      </c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9510</v>
      </c>
      <c r="M54" s="155" t="n">
        <f aca="false">1409.6</f>
        <v>1409.6</v>
      </c>
      <c r="N54" s="156" t="n">
        <v>8100.4</v>
      </c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26</v>
      </c>
      <c r="I55" s="160" t="n">
        <v>19</v>
      </c>
      <c r="J55" s="160" t="n">
        <v>25</v>
      </c>
      <c r="K55" s="161" t="n">
        <v>49769.75</v>
      </c>
      <c r="L55" s="161" t="n">
        <f aca="false">M55+N55</f>
        <v>28323.14</v>
      </c>
      <c r="M55" s="161" t="n">
        <v>28323.14</v>
      </c>
      <c r="N55" s="190"/>
      <c r="O55" s="151" t="n">
        <v>21</v>
      </c>
      <c r="P55" s="149" t="n">
        <v>76522.71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5</v>
      </c>
      <c r="I57" s="160" t="n">
        <v>3</v>
      </c>
      <c r="J57" s="160" t="n">
        <v>3</v>
      </c>
      <c r="K57" s="161" t="n">
        <v>4345.8</v>
      </c>
      <c r="L57" s="161" t="n">
        <f aca="false">M57+N57</f>
        <v>2654.28</v>
      </c>
      <c r="M57" s="161" t="n">
        <v>2654.28</v>
      </c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1</v>
      </c>
      <c r="J58" s="165" t="n">
        <v>1</v>
      </c>
      <c r="K58" s="166" t="n">
        <v>1057.2</v>
      </c>
      <c r="L58" s="189" t="n">
        <f aca="false">M58+N58</f>
        <v>1057.2</v>
      </c>
      <c r="M58" s="166" t="n">
        <f aca="false">1057.2</f>
        <v>1057.2</v>
      </c>
      <c r="N58" s="167"/>
      <c r="O58" s="168" t="n">
        <v>9</v>
      </c>
      <c r="P58" s="166" t="n">
        <v>25697.29</v>
      </c>
      <c r="Q58" s="189" t="n">
        <v>25697.29</v>
      </c>
      <c r="R58" s="166" t="n">
        <v>25697.29</v>
      </c>
      <c r="S58" s="167" t="n">
        <f aca="false">7576.6</f>
        <v>7576.6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1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6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5</v>
      </c>
      <c r="I63" s="148" t="n">
        <v>2</v>
      </c>
      <c r="J63" s="148" t="n">
        <v>2</v>
      </c>
      <c r="K63" s="149" t="n">
        <v>881</v>
      </c>
      <c r="L63" s="149" t="n">
        <f aca="false">M63+N63</f>
        <v>0</v>
      </c>
      <c r="M63" s="149"/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7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17</v>
      </c>
      <c r="K65" s="161" t="n">
        <v>33199.65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8</v>
      </c>
      <c r="I68" s="154" t="n">
        <v>6</v>
      </c>
      <c r="J68" s="154" t="n">
        <v>6</v>
      </c>
      <c r="K68" s="155" t="n">
        <v>3403.1</v>
      </c>
      <c r="L68" s="155" t="n">
        <f aca="false">M68+N68</f>
        <v>3403.1</v>
      </c>
      <c r="M68" s="155" t="n">
        <v>3403.1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12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21739.72</v>
      </c>
      <c r="M69" s="161" t="n">
        <v>21739.72</v>
      </c>
      <c r="N69" s="190"/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20</v>
      </c>
      <c r="I71" s="148" t="n">
        <v>12</v>
      </c>
      <c r="J71" s="148" t="n">
        <v>13</v>
      </c>
      <c r="K71" s="149" t="n">
        <v>29641.45</v>
      </c>
      <c r="L71" s="149" t="n">
        <f aca="false">M71+N71</f>
        <v>29641.45</v>
      </c>
      <c r="M71" s="149" t="n">
        <v>29641.45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28</v>
      </c>
      <c r="I73" s="160" t="n">
        <v>23</v>
      </c>
      <c r="J73" s="160" t="n">
        <v>28</v>
      </c>
      <c r="K73" s="161" t="n">
        <v>60979.51</v>
      </c>
      <c r="L73" s="161" t="n">
        <f aca="false">M73+N73</f>
        <v>48676.65</v>
      </c>
      <c r="M73" s="161" t="n">
        <v>48676.65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/>
      <c r="N76" s="156" t="n">
        <f aca="false">2577.4</f>
        <v>2577.4</v>
      </c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13</v>
      </c>
      <c r="I81" s="148" t="n">
        <v>6</v>
      </c>
      <c r="J81" s="148" t="n">
        <v>6</v>
      </c>
      <c r="K81" s="149" t="n">
        <v>24732.4</v>
      </c>
      <c r="L81" s="149" t="n">
        <f aca="false">M81+N81</f>
        <v>24732.4</v>
      </c>
      <c r="M81" s="149" t="n">
        <v>5039.32</v>
      </c>
      <c r="N81" s="190" t="n">
        <v>19693.08</v>
      </c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25</v>
      </c>
      <c r="I82" s="154" t="n">
        <v>14</v>
      </c>
      <c r="J82" s="154" t="n">
        <v>14</v>
      </c>
      <c r="K82" s="155" t="n">
        <v>17117.62</v>
      </c>
      <c r="L82" s="155" t="n">
        <v>15179.42</v>
      </c>
      <c r="M82" s="155" t="n">
        <v>15179.42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5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4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1</v>
      </c>
      <c r="J86" s="165" t="n">
        <v>1</v>
      </c>
      <c r="K86" s="166" t="n">
        <v>1841</v>
      </c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0</v>
      </c>
      <c r="M87" s="149"/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9</v>
      </c>
      <c r="I89" s="148" t="n">
        <v>6</v>
      </c>
      <c r="J89" s="148" t="n">
        <v>7</v>
      </c>
      <c r="K89" s="149" t="n">
        <v>8723.07</v>
      </c>
      <c r="L89" s="149" t="n">
        <f aca="false">M89+N89</f>
        <v>8723.07</v>
      </c>
      <c r="M89" s="149" t="n">
        <v>5752.93</v>
      </c>
      <c r="N89" s="190" t="n">
        <v>2970.14</v>
      </c>
      <c r="O89" s="151" t="n">
        <v>11</v>
      </c>
      <c r="P89" s="149" t="n">
        <v>45595.17</v>
      </c>
      <c r="Q89" s="149" t="n">
        <f aca="false">R89+S89</f>
        <v>45595.17</v>
      </c>
      <c r="R89" s="149" t="n">
        <v>43656.97</v>
      </c>
      <c r="S89" s="190" t="n">
        <v>1938.2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31</v>
      </c>
      <c r="J90" s="165" t="n">
        <v>31</v>
      </c>
      <c r="K90" s="166" t="n">
        <v>45513.9</v>
      </c>
      <c r="L90" s="166" t="n">
        <v>45513.9</v>
      </c>
      <c r="M90" s="166" t="n">
        <v>45513.9</v>
      </c>
      <c r="N90" s="156"/>
      <c r="O90" s="168" t="n">
        <v>37</v>
      </c>
      <c r="P90" s="166" t="n">
        <v>62201.82</v>
      </c>
      <c r="Q90" s="166" t="n">
        <v>62201.82</v>
      </c>
      <c r="R90" s="166" t="n">
        <v>62201.82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7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2035.11</v>
      </c>
      <c r="N91" s="190" t="n">
        <v>5021.79</v>
      </c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8</v>
      </c>
      <c r="I92" s="165" t="n">
        <v>5</v>
      </c>
      <c r="J92" s="165" t="n">
        <v>5</v>
      </c>
      <c r="K92" s="166" t="n">
        <v>8865.3</v>
      </c>
      <c r="L92" s="166" t="n">
        <f aca="false">M92+N92</f>
        <v>7576.63</v>
      </c>
      <c r="M92" s="166" t="n">
        <f aca="false">2290.6+4052.63</f>
        <v>6343.23</v>
      </c>
      <c r="N92" s="156" t="n">
        <f aca="false">1233.4</f>
        <v>1233.4</v>
      </c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7</v>
      </c>
      <c r="I93" s="148" t="n">
        <v>5</v>
      </c>
      <c r="J93" s="148" t="n">
        <v>5</v>
      </c>
      <c r="K93" s="149" t="n">
        <v>11087.86</v>
      </c>
      <c r="L93" s="149" t="n">
        <f aca="false">M93+N93</f>
        <v>11087.86</v>
      </c>
      <c r="M93" s="149" t="n">
        <v>11087.86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8</v>
      </c>
      <c r="I94" s="154" t="n">
        <v>5</v>
      </c>
      <c r="J94" s="154" t="n">
        <v>5</v>
      </c>
      <c r="K94" s="235" t="n">
        <v>8501.8</v>
      </c>
      <c r="L94" s="155" t="n">
        <f aca="false">M94+N94</f>
        <v>6096.52</v>
      </c>
      <c r="M94" s="155" t="n">
        <f aca="false">2819.2+3277.32</f>
        <v>6096.52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7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9</v>
      </c>
      <c r="I97" s="160" t="n">
        <v>7</v>
      </c>
      <c r="J97" s="160" t="n">
        <v>7</v>
      </c>
      <c r="K97" s="161" t="n">
        <v>12504.79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6</v>
      </c>
      <c r="I98" s="165" t="n">
        <v>3</v>
      </c>
      <c r="J98" s="165" t="n">
        <v>3</v>
      </c>
      <c r="K98" s="166" t="n">
        <v>4052.6</v>
      </c>
      <c r="L98" s="161" t="n">
        <f aca="false">M98+N98</f>
        <v>4052.6</v>
      </c>
      <c r="M98" s="166" t="n">
        <v>4052.6</v>
      </c>
      <c r="N98" s="156"/>
      <c r="O98" s="168" t="n">
        <v>4</v>
      </c>
      <c r="P98" s="166" t="n">
        <v>13222.88</v>
      </c>
      <c r="Q98" s="166" t="n">
        <f aca="false">R98+S98</f>
        <v>13222.88</v>
      </c>
      <c r="R98" s="166" t="n">
        <f aca="false">3347.8+8641.68</f>
        <v>11989.48</v>
      </c>
      <c r="S98" s="156" t="n">
        <v>1233.4</v>
      </c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6</v>
      </c>
      <c r="I99" s="148" t="n">
        <v>3</v>
      </c>
      <c r="J99" s="148" t="n">
        <v>4</v>
      </c>
      <c r="K99" s="149" t="n">
        <v>7062.57</v>
      </c>
      <c r="L99" s="149" t="n">
        <f aca="false">M99+N99</f>
        <v>7062.57</v>
      </c>
      <c r="M99" s="149" t="n">
        <v>7062.57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12686.4</v>
      </c>
      <c r="M100" s="155" t="n">
        <f aca="false">5109.8+7576.6</f>
        <v>12686.4</v>
      </c>
      <c r="N100" s="156"/>
      <c r="O100" s="157" t="n">
        <v>2</v>
      </c>
      <c r="P100" s="155"/>
      <c r="Q100" s="155" t="n">
        <f aca="false">R100+S100</f>
        <v>0</v>
      </c>
      <c r="R100" s="155"/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30</v>
      </c>
      <c r="K101" s="161" t="n">
        <v>61423.43</v>
      </c>
      <c r="L101" s="161" t="n">
        <f aca="false">M101+N101</f>
        <v>50881.45</v>
      </c>
      <c r="M101" s="161" t="n">
        <v>22267.64</v>
      </c>
      <c r="N101" s="190" t="n">
        <v>28613.81</v>
      </c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57478.81</v>
      </c>
      <c r="S101" s="190" t="n">
        <v>83214.93</v>
      </c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21</v>
      </c>
      <c r="I103" s="148" t="n">
        <v>15</v>
      </c>
      <c r="J103" s="148" t="n">
        <v>15</v>
      </c>
      <c r="K103" s="149" t="n">
        <v>12723.15</v>
      </c>
      <c r="L103" s="149" t="n">
        <f aca="false">M103+N103</f>
        <v>12723.15</v>
      </c>
      <c r="M103" s="149" t="n">
        <v>12723.15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6431.3+1057.2</f>
        <v>7488.5</v>
      </c>
      <c r="S104" s="156" t="n">
        <f aca="false">2246.55</f>
        <v>2246.55</v>
      </c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10</v>
      </c>
      <c r="J105" s="148" t="n">
        <v>12</v>
      </c>
      <c r="K105" s="149" t="n">
        <v>10404.92</v>
      </c>
      <c r="L105" s="149" t="n">
        <f aca="false">M105+N105</f>
        <v>7482.33</v>
      </c>
      <c r="M105" s="149" t="n">
        <v>4148.63</v>
      </c>
      <c r="N105" s="190" t="n">
        <v>3333.7</v>
      </c>
      <c r="O105" s="151" t="n">
        <v>8</v>
      </c>
      <c r="P105" s="149" t="n">
        <v>47130.25</v>
      </c>
      <c r="Q105" s="149" t="n">
        <f aca="false">R105+S105</f>
        <v>12279.73</v>
      </c>
      <c r="R105" s="149" t="n">
        <v>8651.42</v>
      </c>
      <c r="S105" s="190" t="n">
        <v>3628.31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7400.4</v>
      </c>
      <c r="M106" s="182" t="n">
        <f aca="false">3876.4</f>
        <v>3876.4</v>
      </c>
      <c r="N106" s="167" t="n">
        <f aca="false">3524</f>
        <v>3524</v>
      </c>
      <c r="O106" s="184" t="n">
        <v>10</v>
      </c>
      <c r="P106" s="182" t="n">
        <v>20318.3</v>
      </c>
      <c r="Q106" s="182" t="n">
        <f aca="false">R106+S106</f>
        <v>23258.4</v>
      </c>
      <c r="R106" s="182" t="n">
        <f aca="false">8986.2+7400.4</f>
        <v>16386.6</v>
      </c>
      <c r="S106" s="167" t="n">
        <f aca="false">6871.8</f>
        <v>6871.8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3</v>
      </c>
      <c r="I107" s="154" t="n">
        <v>2</v>
      </c>
      <c r="J107" s="154" t="n">
        <v>2</v>
      </c>
      <c r="K107" s="155" t="n">
        <v>9338.6</v>
      </c>
      <c r="L107" s="155" t="n">
        <v>9338.6</v>
      </c>
      <c r="M107" s="155" t="n">
        <v>9338.6</v>
      </c>
      <c r="N107" s="156"/>
      <c r="O107" s="157" t="n">
        <v>4</v>
      </c>
      <c r="P107" s="155" t="n">
        <v>3347.8</v>
      </c>
      <c r="Q107" s="155" t="n">
        <v>3347.8</v>
      </c>
      <c r="R107" s="155" t="n">
        <v>3347.8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8</v>
      </c>
      <c r="I108" s="160" t="n">
        <v>5</v>
      </c>
      <c r="J108" s="160" t="n">
        <v>6</v>
      </c>
      <c r="K108" s="161" t="n">
        <v>11123.42</v>
      </c>
      <c r="L108" s="161" t="n">
        <f aca="false">M108+N108</f>
        <v>11123.42</v>
      </c>
      <c r="M108" s="161" t="n">
        <v>11123.42</v>
      </c>
      <c r="N108" s="190"/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8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/>
      <c r="Q111" s="166" t="n">
        <f aca="false">R111+S111</f>
        <v>5638.4</v>
      </c>
      <c r="R111" s="166"/>
      <c r="S111" s="156" t="n">
        <f aca="false">5638.4</f>
        <v>5638.4</v>
      </c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29</v>
      </c>
      <c r="I112" s="148" t="n">
        <v>25</v>
      </c>
      <c r="J112" s="148" t="n">
        <v>32</v>
      </c>
      <c r="K112" s="149" t="n">
        <v>44176.55</v>
      </c>
      <c r="L112" s="149" t="n">
        <f aca="false">M112+N112</f>
        <v>41314.16</v>
      </c>
      <c r="M112" s="149" t="n">
        <v>29760.04</v>
      </c>
      <c r="N112" s="190" t="n">
        <v>11554.12</v>
      </c>
      <c r="O112" s="151" t="n">
        <v>4</v>
      </c>
      <c r="P112" s="149" t="n">
        <v>25421.86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3</v>
      </c>
      <c r="J113" s="165" t="n">
        <v>3</v>
      </c>
      <c r="K113" s="166" t="n">
        <v>10569.6</v>
      </c>
      <c r="L113" s="166" t="n">
        <f aca="false">M113+N113</f>
        <v>6957.5</v>
      </c>
      <c r="M113" s="166" t="n">
        <f aca="false">2907.3</f>
        <v>2907.3</v>
      </c>
      <c r="N113" s="156" t="n">
        <v>4050.2</v>
      </c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6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30</v>
      </c>
      <c r="I118" s="160" t="n">
        <v>19</v>
      </c>
      <c r="J118" s="160" t="n">
        <v>28</v>
      </c>
      <c r="K118" s="161" t="n">
        <v>51943.96</v>
      </c>
      <c r="L118" s="161" t="n">
        <f aca="false">M118+N118</f>
        <v>46541.91</v>
      </c>
      <c r="M118" s="161" t="n">
        <v>33320.63</v>
      </c>
      <c r="N118" s="190" t="n">
        <v>13221.28</v>
      </c>
      <c r="O118" s="163" t="n">
        <v>26</v>
      </c>
      <c r="P118" s="161" t="n">
        <v>50558.54</v>
      </c>
      <c r="Q118" s="161" t="n">
        <f aca="false">R118+S118</f>
        <v>50029.94</v>
      </c>
      <c r="R118" s="161" t="n">
        <v>48972.74</v>
      </c>
      <c r="S118" s="190" t="n">
        <v>1057.2</v>
      </c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6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528.6</v>
      </c>
      <c r="M120" s="149" t="n">
        <v>528.6</v>
      </c>
      <c r="N120" s="190"/>
      <c r="O120" s="151" t="n">
        <v>5</v>
      </c>
      <c r="P120" s="149" t="n">
        <v>57770.79</v>
      </c>
      <c r="Q120" s="149" t="n">
        <f aca="false">R120+S120</f>
        <v>1162.92</v>
      </c>
      <c r="R120" s="149" t="n">
        <v>1162.92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31</v>
      </c>
      <c r="I122" s="148" t="n">
        <v>19</v>
      </c>
      <c r="J122" s="148" t="n">
        <v>23</v>
      </c>
      <c r="K122" s="149" t="n">
        <v>24727.19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23</v>
      </c>
      <c r="I123" s="165" t="n">
        <v>13</v>
      </c>
      <c r="J123" s="165" t="n">
        <v>13</v>
      </c>
      <c r="K123" s="166" t="n">
        <v>9977.8</v>
      </c>
      <c r="L123" s="166" t="n">
        <v>7952.7</v>
      </c>
      <c r="M123" s="166" t="n">
        <v>7952.7</v>
      </c>
      <c r="N123" s="156"/>
      <c r="O123" s="168" t="n">
        <v>15</v>
      </c>
      <c r="P123" s="166" t="n">
        <v>30144.8</v>
      </c>
      <c r="Q123" s="166" t="n">
        <v>30144.8</v>
      </c>
      <c r="R123" s="166" t="n">
        <v>30144.8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25</v>
      </c>
      <c r="I124" s="148" t="n">
        <v>18</v>
      </c>
      <c r="J124" s="148" t="n">
        <v>24</v>
      </c>
      <c r="K124" s="149" t="n">
        <v>96984.25</v>
      </c>
      <c r="L124" s="149" t="n">
        <f aca="false">M124+N124</f>
        <v>51882.6</v>
      </c>
      <c r="M124" s="149" t="n">
        <v>41123.37</v>
      </c>
      <c r="N124" s="190" t="n">
        <v>10759.23</v>
      </c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32</v>
      </c>
      <c r="I126" s="160" t="n">
        <v>13</v>
      </c>
      <c r="J126" s="160" t="n">
        <v>14</v>
      </c>
      <c r="K126" s="161" t="n">
        <v>48790.43</v>
      </c>
      <c r="L126" s="161" t="n">
        <f aca="false">M126+N126</f>
        <v>33685.02</v>
      </c>
      <c r="M126" s="161" t="n">
        <v>23522.7</v>
      </c>
      <c r="N126" s="190" t="n">
        <v>10162.32</v>
      </c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78950.02</v>
      </c>
      <c r="S126" s="190" t="n">
        <v>45843.46</v>
      </c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8059.66</v>
      </c>
      <c r="M128" s="166" t="n">
        <f aca="false">2266.65+23.95+1902.96</f>
        <v>4193.56</v>
      </c>
      <c r="N128" s="156" t="n">
        <v>3866.1</v>
      </c>
      <c r="O128" s="168" t="n">
        <v>10</v>
      </c>
      <c r="P128" s="166" t="n">
        <v>47439.78</v>
      </c>
      <c r="Q128" s="166" t="n">
        <f aca="false">R128+S128</f>
        <v>47439.78</v>
      </c>
      <c r="R128" s="166" t="n">
        <f aca="false">29167.43-47.9+23.95+10748.2</f>
        <v>39891.68</v>
      </c>
      <c r="S128" s="156" t="n">
        <f aca="false">7548.1</f>
        <v>7548.1</v>
      </c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7</v>
      </c>
      <c r="J131" s="160" t="n">
        <v>8</v>
      </c>
      <c r="K131" s="161" t="n">
        <v>8606.09</v>
      </c>
      <c r="L131" s="161" t="n">
        <f aca="false">M131+N131</f>
        <v>4891.75</v>
      </c>
      <c r="M131" s="161" t="n">
        <v>4891.75</v>
      </c>
      <c r="N131" s="190"/>
      <c r="O131" s="163" t="n">
        <v>8</v>
      </c>
      <c r="P131" s="161" t="n">
        <v>22293.04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</f>
        <v>9242.43</v>
      </c>
      <c r="S132" s="156" t="n">
        <f aca="false">5041.6</f>
        <v>5041.6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2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19</v>
      </c>
      <c r="I136" s="165" t="n">
        <v>16</v>
      </c>
      <c r="J136" s="165" t="n">
        <v>16</v>
      </c>
      <c r="K136" s="166" t="n">
        <v>14075.05</v>
      </c>
      <c r="L136" s="166" t="n">
        <v>7929</v>
      </c>
      <c r="M136" s="166" t="n">
        <v>7929</v>
      </c>
      <c r="N136" s="156" t="n">
        <v>5769.95</v>
      </c>
      <c r="O136" s="168" t="n">
        <v>11</v>
      </c>
      <c r="P136" s="166" t="n">
        <v>28192</v>
      </c>
      <c r="Q136" s="166" t="n">
        <v>19205.8</v>
      </c>
      <c r="R136" s="166" t="n">
        <v>19205.8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30</v>
      </c>
      <c r="I137" s="148" t="n">
        <v>22</v>
      </c>
      <c r="J137" s="148" t="n">
        <v>29</v>
      </c>
      <c r="K137" s="149" t="n">
        <v>82054.49</v>
      </c>
      <c r="L137" s="149" t="n">
        <f aca="false">M137+N137</f>
        <v>55268.48</v>
      </c>
      <c r="M137" s="149" t="n">
        <v>55268.48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11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1233.4+3347.8</f>
        <v>4581.2</v>
      </c>
      <c r="N138" s="167" t="n">
        <f aca="false">2209.2</f>
        <v>2209.2</v>
      </c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11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3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25</v>
      </c>
      <c r="I142" s="160" t="n">
        <v>20</v>
      </c>
      <c r="J142" s="160" t="n">
        <v>20</v>
      </c>
      <c r="K142" s="161" t="n">
        <v>7606.2</v>
      </c>
      <c r="L142" s="161" t="n">
        <f aca="false">M142+N142</f>
        <v>7606.2</v>
      </c>
      <c r="M142" s="161" t="n">
        <v>4757.4</v>
      </c>
      <c r="N142" s="190" t="n">
        <v>2848.8</v>
      </c>
      <c r="O142" s="163" t="n">
        <v>24</v>
      </c>
      <c r="P142" s="161" t="n">
        <v>48668.87</v>
      </c>
      <c r="Q142" s="161" t="n">
        <f aca="false">R142+S142</f>
        <v>48668.87</v>
      </c>
      <c r="R142" s="161" t="n">
        <v>38323.95</v>
      </c>
      <c r="S142" s="190" t="n">
        <v>10344.92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12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2643</f>
        <v>2643</v>
      </c>
      <c r="N143" s="167" t="n">
        <f aca="false">1585.8</f>
        <v>1585.8</v>
      </c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6</v>
      </c>
      <c r="I145" s="148" t="n">
        <v>4</v>
      </c>
      <c r="J145" s="148" t="n">
        <v>5</v>
      </c>
      <c r="K145" s="149" t="n">
        <v>4673.26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6</v>
      </c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21</v>
      </c>
      <c r="I147" s="160" t="n">
        <v>18</v>
      </c>
      <c r="J147" s="160" t="n">
        <v>18</v>
      </c>
      <c r="K147" s="161" t="n">
        <v>22821.1</v>
      </c>
      <c r="L147" s="161" t="n">
        <f aca="false">M147+N147</f>
        <v>21127.38</v>
      </c>
      <c r="M147" s="161" t="n">
        <v>17408.56</v>
      </c>
      <c r="N147" s="190" t="n">
        <v>3718.82</v>
      </c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27296.38</v>
      </c>
      <c r="S147" s="190" t="n">
        <v>3149.96</v>
      </c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3700.2</v>
      </c>
      <c r="M148" s="166" t="n">
        <f aca="false">3700.2</f>
        <v>3700.2</v>
      </c>
      <c r="N148" s="156"/>
      <c r="O148" s="168" t="n">
        <v>7</v>
      </c>
      <c r="P148" s="166" t="n">
        <v>8986.2</v>
      </c>
      <c r="Q148" s="166" t="n">
        <f aca="false">R148+S148</f>
        <v>8986.2</v>
      </c>
      <c r="R148" s="166" t="n">
        <f aca="false">6519.4+1585.8</f>
        <v>8105.2</v>
      </c>
      <c r="S148" s="156" t="n">
        <f aca="false">881</f>
        <v>881</v>
      </c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5</v>
      </c>
      <c r="I149" s="148" t="n">
        <v>3</v>
      </c>
      <c r="J149" s="148" t="n">
        <v>4</v>
      </c>
      <c r="K149" s="149" t="n">
        <v>8939.41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2</v>
      </c>
      <c r="J150" s="165" t="n">
        <v>2</v>
      </c>
      <c r="K150" s="166" t="n">
        <v>5392.4</v>
      </c>
      <c r="L150" s="166" t="n">
        <f aca="false">M150+N150</f>
        <v>2466.8</v>
      </c>
      <c r="M150" s="166" t="n">
        <f aca="false">2466.8</f>
        <v>2466.8</v>
      </c>
      <c r="N150" s="167"/>
      <c r="O150" s="168" t="n">
        <v>8</v>
      </c>
      <c r="P150" s="166" t="n">
        <v>11860.54</v>
      </c>
      <c r="Q150" s="166" t="n">
        <f aca="false">R150+S150</f>
        <v>11860.54</v>
      </c>
      <c r="R150" s="166" t="n">
        <f aca="false">2290.6+528.6+7047.84</f>
        <v>9867.04</v>
      </c>
      <c r="S150" s="167" t="n">
        <f aca="false">1993.5</f>
        <v>1993.5</v>
      </c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/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3</v>
      </c>
      <c r="P153" s="161" t="n">
        <v>30540.03</v>
      </c>
      <c r="Q153" s="161" t="n">
        <f aca="false">R153+S153</f>
        <v>30540.03</v>
      </c>
      <c r="R153" s="161" t="n">
        <v>20088.08</v>
      </c>
      <c r="S153" s="190" t="n">
        <v>10451.95</v>
      </c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26" t="s">
        <v>281</v>
      </c>
      <c r="G154" s="152" t="s">
        <v>26</v>
      </c>
      <c r="H154" s="153" t="n">
        <v>3</v>
      </c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105</v>
      </c>
      <c r="C155" s="35" t="s">
        <v>33</v>
      </c>
      <c r="D155" s="35" t="s">
        <v>106</v>
      </c>
      <c r="E155" s="35" t="s">
        <v>107</v>
      </c>
      <c r="F155" s="36"/>
      <c r="G155" s="146" t="s">
        <v>22</v>
      </c>
      <c r="H155" s="169" t="n">
        <v>8</v>
      </c>
      <c r="I155" s="160" t="n">
        <v>3</v>
      </c>
      <c r="J155" s="160" t="n">
        <v>3</v>
      </c>
      <c r="K155" s="161" t="n">
        <v>2479.18</v>
      </c>
      <c r="L155" s="161" t="n">
        <f aca="false">M155+N155</f>
        <v>1617.46</v>
      </c>
      <c r="M155" s="161" t="n">
        <v>352.4</v>
      </c>
      <c r="N155" s="190" t="n">
        <v>1265.06</v>
      </c>
      <c r="O155" s="163" t="n">
        <v>11</v>
      </c>
      <c r="P155" s="161" t="n">
        <v>54093.04</v>
      </c>
      <c r="Q155" s="161" t="n">
        <f aca="false">R155+S155</f>
        <v>54093.04</v>
      </c>
      <c r="R155" s="161" t="n">
        <v>45624.44</v>
      </c>
      <c r="S155" s="190" t="n">
        <v>8468.6</v>
      </c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194</v>
      </c>
      <c r="G156" s="164" t="s">
        <v>26</v>
      </c>
      <c r="H156" s="153" t="n">
        <v>2</v>
      </c>
      <c r="I156" s="165"/>
      <c r="J156" s="165"/>
      <c r="K156" s="166"/>
      <c r="L156" s="161" t="n">
        <f aca="false">M156+N156</f>
        <v>0</v>
      </c>
      <c r="M156" s="166" t="n">
        <v>0</v>
      </c>
      <c r="N156" s="156"/>
      <c r="O156" s="168" t="n">
        <v>7</v>
      </c>
      <c r="P156" s="166" t="n">
        <v>23645.16</v>
      </c>
      <c r="Q156" s="166" t="n">
        <f aca="false">R156+S156</f>
        <v>18745.5</v>
      </c>
      <c r="R156" s="166" t="n">
        <f aca="false">4801.4+881+10853.9</f>
        <v>16536.3</v>
      </c>
      <c r="S156" s="156" t="n">
        <f aca="false">2209.2</f>
        <v>2209.2</v>
      </c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72"/>
      <c r="B157" s="73" t="s">
        <v>108</v>
      </c>
      <c r="C157" s="74" t="s">
        <v>33</v>
      </c>
      <c r="D157" s="74" t="s">
        <v>109</v>
      </c>
      <c r="E157" s="74" t="s">
        <v>25</v>
      </c>
      <c r="F157" s="20"/>
      <c r="G157" s="146" t="s">
        <v>22</v>
      </c>
      <c r="H157" s="159" t="n">
        <v>11</v>
      </c>
      <c r="I157" s="148" t="n">
        <v>10</v>
      </c>
      <c r="J157" s="148" t="n">
        <v>11</v>
      </c>
      <c r="K157" s="149" t="n">
        <v>21918.02</v>
      </c>
      <c r="L157" s="149" t="n">
        <f aca="false">M157+N157</f>
        <v>21755.92</v>
      </c>
      <c r="M157" s="149" t="n">
        <v>11519.11</v>
      </c>
      <c r="N157" s="190" t="n">
        <v>10236.81</v>
      </c>
      <c r="O157" s="151" t="n">
        <v>22</v>
      </c>
      <c r="P157" s="149" t="n">
        <v>54823.91</v>
      </c>
      <c r="Q157" s="149" t="n">
        <f aca="false">R157+S157</f>
        <v>49670.54</v>
      </c>
      <c r="R157" s="149" t="n">
        <v>37928.86</v>
      </c>
      <c r="S157" s="190" t="n">
        <v>11741.68</v>
      </c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72"/>
      <c r="B158" s="73"/>
      <c r="C158" s="73"/>
      <c r="D158" s="73"/>
      <c r="E158" s="73"/>
      <c r="F158" s="42" t="s">
        <v>195</v>
      </c>
      <c r="G158" s="164" t="s">
        <v>26</v>
      </c>
      <c r="H158" s="171" t="n">
        <v>9</v>
      </c>
      <c r="I158" s="165" t="n">
        <v>7</v>
      </c>
      <c r="J158" s="165" t="n">
        <v>7</v>
      </c>
      <c r="K158" s="166" t="n">
        <v>25240.98</v>
      </c>
      <c r="L158" s="166" t="n">
        <f aca="false">M158+N158</f>
        <v>14448.4</v>
      </c>
      <c r="M158" s="166" t="n">
        <f aca="false">6942.28+7506.12</f>
        <v>14448.4</v>
      </c>
      <c r="N158" s="156"/>
      <c r="O158" s="157" t="n">
        <v>13</v>
      </c>
      <c r="P158" s="155" t="n">
        <v>62603.86</v>
      </c>
      <c r="Q158" s="155" t="n">
        <f aca="false">R158+S158</f>
        <v>62603.86</v>
      </c>
      <c r="R158" s="155" t="n">
        <f aca="false">15329.4+14888.9+7893.76</f>
        <v>38112.06</v>
      </c>
      <c r="S158" s="156" t="n">
        <f aca="false">24491.8</f>
        <v>24491.8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110</v>
      </c>
      <c r="C159" s="19" t="s">
        <v>33</v>
      </c>
      <c r="D159" s="19" t="s">
        <v>111</v>
      </c>
      <c r="E159" s="19" t="s">
        <v>25</v>
      </c>
      <c r="F159" s="20"/>
      <c r="G159" s="146" t="s">
        <v>22</v>
      </c>
      <c r="H159" s="159" t="n">
        <v>30</v>
      </c>
      <c r="I159" s="148" t="n">
        <v>21</v>
      </c>
      <c r="J159" s="193" t="n">
        <v>24</v>
      </c>
      <c r="K159" s="149" t="n">
        <v>25113.93</v>
      </c>
      <c r="L159" s="149" t="n">
        <f aca="false">M159+N159</f>
        <v>25113.93</v>
      </c>
      <c r="M159" s="149" t="n">
        <v>19498.3</v>
      </c>
      <c r="N159" s="190" t="n">
        <v>5615.63</v>
      </c>
      <c r="O159" s="163" t="n">
        <v>19</v>
      </c>
      <c r="P159" s="161" t="n">
        <v>104266.8</v>
      </c>
      <c r="Q159" s="161" t="n">
        <f aca="false">R159+S159</f>
        <v>101109.38</v>
      </c>
      <c r="R159" s="161" t="n">
        <v>50536.47</v>
      </c>
      <c r="S159" s="190" t="n">
        <v>50572.91</v>
      </c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42" t="s">
        <v>196</v>
      </c>
      <c r="G160" s="164" t="s">
        <v>26</v>
      </c>
      <c r="H160" s="175" t="n">
        <v>5</v>
      </c>
      <c r="I160" s="165" t="n">
        <v>4</v>
      </c>
      <c r="J160" s="165" t="n">
        <v>3</v>
      </c>
      <c r="K160" s="166" t="n">
        <v>10296.2</v>
      </c>
      <c r="L160" s="166" t="n">
        <f aca="false">M160+N160</f>
        <v>0</v>
      </c>
      <c r="M160" s="166"/>
      <c r="N160" s="167"/>
      <c r="O160" s="168" t="n">
        <v>1</v>
      </c>
      <c r="P160" s="166"/>
      <c r="Q160" s="166" t="n">
        <f aca="false">R160+S160</f>
        <v>0</v>
      </c>
      <c r="R160" s="166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40" t="s">
        <v>282</v>
      </c>
      <c r="C161" s="19" t="s">
        <v>33</v>
      </c>
      <c r="D161" s="19" t="s">
        <v>283</v>
      </c>
      <c r="E161" s="19" t="s">
        <v>284</v>
      </c>
      <c r="F161" s="20"/>
      <c r="G161" s="146" t="s">
        <v>22</v>
      </c>
      <c r="H161" s="173"/>
      <c r="I161" s="148"/>
      <c r="J161" s="148"/>
      <c r="K161" s="241"/>
      <c r="L161" s="241" t="n">
        <f aca="false">M161+N161</f>
        <v>0</v>
      </c>
      <c r="M161" s="241"/>
      <c r="N161" s="150"/>
      <c r="O161" s="206"/>
      <c r="P161" s="149"/>
      <c r="Q161" s="149" t="n">
        <f aca="false">R161+S161</f>
        <v>0</v>
      </c>
      <c r="R161" s="149"/>
      <c r="S161" s="15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40"/>
      <c r="C162" s="19"/>
      <c r="D162" s="19"/>
      <c r="E162" s="19"/>
      <c r="F162" s="26" t="s">
        <v>285</v>
      </c>
      <c r="G162" s="152" t="s">
        <v>23</v>
      </c>
      <c r="H162" s="174" t="n">
        <v>6</v>
      </c>
      <c r="I162" s="154" t="n">
        <v>2</v>
      </c>
      <c r="J162" s="154" t="n">
        <v>2</v>
      </c>
      <c r="K162" s="242" t="n">
        <v>1472.8</v>
      </c>
      <c r="L162" s="242" t="n">
        <f aca="false">M162+N162</f>
        <v>1472.8</v>
      </c>
      <c r="M162" s="242" t="n">
        <v>1472.8</v>
      </c>
      <c r="N162" s="156"/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 t="s">
        <v>112</v>
      </c>
      <c r="C163" s="35" t="s">
        <v>20</v>
      </c>
      <c r="D163" s="35" t="s">
        <v>197</v>
      </c>
      <c r="E163" s="35" t="s">
        <v>25</v>
      </c>
      <c r="F163" s="36"/>
      <c r="G163" s="158" t="s">
        <v>22</v>
      </c>
      <c r="H163" s="159" t="n">
        <v>21</v>
      </c>
      <c r="I163" s="160" t="n">
        <v>21</v>
      </c>
      <c r="J163" s="160" t="n">
        <v>29</v>
      </c>
      <c r="K163" s="140" t="n">
        <v>74905.82</v>
      </c>
      <c r="L163" s="140" t="n">
        <f aca="false">M163+N163</f>
        <v>71945.49</v>
      </c>
      <c r="M163" s="140" t="n">
        <v>56817.22</v>
      </c>
      <c r="N163" s="190" t="n">
        <v>15128.27</v>
      </c>
      <c r="O163" s="163" t="n">
        <v>7</v>
      </c>
      <c r="P163" s="161" t="n">
        <v>29719.69</v>
      </c>
      <c r="Q163" s="161" t="n">
        <f aca="false">R163+S163</f>
        <v>29719.69</v>
      </c>
      <c r="R163" s="161" t="n">
        <v>25423.03</v>
      </c>
      <c r="S163" s="190" t="n">
        <v>4296.66</v>
      </c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26" t="s">
        <v>198</v>
      </c>
      <c r="G164" s="152" t="s">
        <v>26</v>
      </c>
      <c r="H164" s="171" t="n">
        <v>5</v>
      </c>
      <c r="I164" s="165" t="n">
        <v>1</v>
      </c>
      <c r="J164" s="165" t="n">
        <v>1</v>
      </c>
      <c r="K164" s="166" t="n">
        <v>1762</v>
      </c>
      <c r="L164" s="166" t="n">
        <f aca="false">M164+N164</f>
        <v>1321.5</v>
      </c>
      <c r="M164" s="166" t="n">
        <f aca="false">1321.5</f>
        <v>1321.5</v>
      </c>
      <c r="N164" s="156"/>
      <c r="O164" s="168" t="n">
        <v>2</v>
      </c>
      <c r="P164" s="166" t="n">
        <v>27663.4</v>
      </c>
      <c r="Q164" s="166" t="n">
        <f aca="false">R164+S164</f>
        <v>27663.4</v>
      </c>
      <c r="R164" s="166" t="n">
        <f aca="false">2114.4</f>
        <v>2114.4</v>
      </c>
      <c r="S164" s="156" t="n">
        <f aca="false">25549</f>
        <v>25549</v>
      </c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113</v>
      </c>
      <c r="C165" s="19" t="s">
        <v>20</v>
      </c>
      <c r="D165" s="19"/>
      <c r="E165" s="19" t="s">
        <v>31</v>
      </c>
      <c r="F165" s="36"/>
      <c r="G165" s="146" t="s">
        <v>22</v>
      </c>
      <c r="H165" s="159" t="n">
        <v>15</v>
      </c>
      <c r="I165" s="148" t="n">
        <v>13</v>
      </c>
      <c r="J165" s="148" t="n">
        <v>16</v>
      </c>
      <c r="K165" s="149" t="n">
        <v>32741.22</v>
      </c>
      <c r="L165" s="149" t="n">
        <f aca="false">M165+N165</f>
        <v>31283.15</v>
      </c>
      <c r="M165" s="149" t="n">
        <v>25824.49</v>
      </c>
      <c r="N165" s="190" t="n">
        <v>5458.66</v>
      </c>
      <c r="O165" s="151" t="n">
        <v>10</v>
      </c>
      <c r="P165" s="149" t="n">
        <v>26895.77</v>
      </c>
      <c r="Q165" s="149" t="n">
        <f aca="false">R165+S165</f>
        <v>18834.43</v>
      </c>
      <c r="R165" s="149" t="n">
        <v>18834.43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57"/>
      <c r="G166" s="152" t="s">
        <v>26</v>
      </c>
      <c r="H166" s="153"/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114</v>
      </c>
      <c r="C167" s="35" t="s">
        <v>20</v>
      </c>
      <c r="D167" s="95"/>
      <c r="E167" s="35" t="s">
        <v>25</v>
      </c>
      <c r="F167" s="71"/>
      <c r="G167" s="146" t="s">
        <v>22</v>
      </c>
      <c r="H167" s="169" t="n">
        <v>2</v>
      </c>
      <c r="I167" s="160"/>
      <c r="J167" s="160"/>
      <c r="K167" s="161"/>
      <c r="L167" s="161" t="n">
        <f aca="false">M167+N167</f>
        <v>0</v>
      </c>
      <c r="M167" s="161"/>
      <c r="N167" s="190"/>
      <c r="O167" s="163" t="n">
        <v>3</v>
      </c>
      <c r="P167" s="161" t="n">
        <v>4574.09</v>
      </c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33"/>
      <c r="B168" s="34"/>
      <c r="C168" s="34"/>
      <c r="D168" s="34"/>
      <c r="E168" s="34"/>
      <c r="F168" s="42" t="s">
        <v>274</v>
      </c>
      <c r="G168" s="164" t="s">
        <v>26</v>
      </c>
      <c r="H168" s="175" t="n">
        <v>5</v>
      </c>
      <c r="I168" s="165" t="n">
        <v>5</v>
      </c>
      <c r="J168" s="165" t="n">
        <v>5</v>
      </c>
      <c r="K168" s="166" t="n">
        <v>5596.62</v>
      </c>
      <c r="L168" s="166" t="n">
        <f aca="false">M168+N168</f>
        <v>2692.53</v>
      </c>
      <c r="M168" s="166" t="n">
        <f aca="false">1127.68</f>
        <v>1127.68</v>
      </c>
      <c r="N168" s="156" t="n">
        <f aca="false">1012.55+552.3</f>
        <v>1564.85</v>
      </c>
      <c r="O168" s="168"/>
      <c r="P168" s="166"/>
      <c r="Q168" s="166" t="n">
        <f aca="false">R168+S168</f>
        <v>0</v>
      </c>
      <c r="R168" s="166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 t="s">
        <v>243</v>
      </c>
      <c r="C169" s="219"/>
      <c r="D169" s="19"/>
      <c r="E169" s="19"/>
      <c r="F169" s="20"/>
      <c r="G169" s="146" t="s">
        <v>22</v>
      </c>
      <c r="H169" s="173" t="n">
        <v>5</v>
      </c>
      <c r="I169" s="148" t="n">
        <v>4</v>
      </c>
      <c r="J169" s="148" t="n">
        <v>4</v>
      </c>
      <c r="K169" s="149" t="n">
        <v>4602.74</v>
      </c>
      <c r="L169" s="149" t="n">
        <f aca="false">M169+N169</f>
        <v>4062.29</v>
      </c>
      <c r="M169" s="149" t="n">
        <v>4062.29</v>
      </c>
      <c r="N169" s="190"/>
      <c r="O169" s="206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/>
      <c r="C170" s="18"/>
      <c r="D170" s="18"/>
      <c r="E170" s="18"/>
      <c r="F170" s="26" t="s">
        <v>275</v>
      </c>
      <c r="G170" s="152" t="s">
        <v>26</v>
      </c>
      <c r="H170" s="174" t="n">
        <v>6</v>
      </c>
      <c r="I170" s="154" t="n">
        <v>2</v>
      </c>
      <c r="J170" s="154" t="n">
        <v>2</v>
      </c>
      <c r="K170" s="155" t="n">
        <v>5061.94</v>
      </c>
      <c r="L170" s="155" t="n">
        <f aca="false">M170+N170</f>
        <v>5061.94</v>
      </c>
      <c r="M170" s="155" t="n">
        <f aca="false">3476.14</f>
        <v>3476.14</v>
      </c>
      <c r="N170" s="156" t="n">
        <v>1585.8</v>
      </c>
      <c r="O170" s="209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200</v>
      </c>
      <c r="C171" s="220"/>
      <c r="D171" s="56"/>
      <c r="E171" s="56"/>
      <c r="F171" s="36"/>
      <c r="G171" s="158" t="s">
        <v>22</v>
      </c>
      <c r="H171" s="159" t="n">
        <v>25</v>
      </c>
      <c r="I171" s="160" t="n">
        <v>24</v>
      </c>
      <c r="J171" s="160" t="n">
        <v>28</v>
      </c>
      <c r="K171" s="161" t="n">
        <v>44734.37</v>
      </c>
      <c r="L171" s="161" t="n">
        <f aca="false">M171+N171</f>
        <v>44734.37</v>
      </c>
      <c r="M171" s="161" t="n">
        <v>22458.11</v>
      </c>
      <c r="N171" s="190" t="n">
        <v>22276.26</v>
      </c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57"/>
      <c r="G172" s="152" t="s">
        <v>26</v>
      </c>
      <c r="H172" s="174" t="n">
        <v>4</v>
      </c>
      <c r="I172" s="154" t="n">
        <v>4</v>
      </c>
      <c r="J172" s="154" t="n">
        <v>4</v>
      </c>
      <c r="K172" s="155" t="n">
        <v>8512.9</v>
      </c>
      <c r="L172" s="155" t="n">
        <f aca="false">M172+N172</f>
        <v>8512.9</v>
      </c>
      <c r="M172" s="155" t="n">
        <f aca="false">4757.4+2466.8</f>
        <v>7224.2</v>
      </c>
      <c r="N172" s="156" t="n">
        <f aca="false">1288.7</f>
        <v>1288.7</v>
      </c>
      <c r="O172" s="157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115</v>
      </c>
      <c r="C173" s="56" t="s">
        <v>20</v>
      </c>
      <c r="D173" s="56"/>
      <c r="E173" s="56" t="s">
        <v>116</v>
      </c>
      <c r="F173" s="36"/>
      <c r="G173" s="158" t="s">
        <v>22</v>
      </c>
      <c r="H173" s="159" t="n">
        <v>18</v>
      </c>
      <c r="I173" s="160" t="n">
        <v>15</v>
      </c>
      <c r="J173" s="160" t="n">
        <v>17</v>
      </c>
      <c r="K173" s="161" t="n">
        <v>15676.78</v>
      </c>
      <c r="L173" s="161" t="n">
        <f aca="false">M173+N173</f>
        <v>15676.78</v>
      </c>
      <c r="M173" s="161" t="n">
        <v>9503.97</v>
      </c>
      <c r="N173" s="190" t="n">
        <v>6172.81</v>
      </c>
      <c r="O173" s="163" t="n">
        <v>19</v>
      </c>
      <c r="P173" s="161" t="n">
        <v>47256.43</v>
      </c>
      <c r="Q173" s="161" t="n">
        <f aca="false">R173+S173</f>
        <v>46122.58</v>
      </c>
      <c r="R173" s="161" t="n">
        <v>38497.86</v>
      </c>
      <c r="S173" s="190" t="n">
        <v>7624.72</v>
      </c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42" t="s">
        <v>201</v>
      </c>
      <c r="G174" s="164" t="s">
        <v>26</v>
      </c>
      <c r="H174" s="172" t="n">
        <v>9</v>
      </c>
      <c r="I174" s="165" t="n">
        <v>4</v>
      </c>
      <c r="J174" s="165" t="n">
        <v>4</v>
      </c>
      <c r="K174" s="166" t="n">
        <v>8915.72</v>
      </c>
      <c r="L174" s="161" t="n">
        <f aca="false">M174+N174</f>
        <v>4510.72</v>
      </c>
      <c r="M174" s="166" t="n">
        <v>1585.8</v>
      </c>
      <c r="N174" s="156" t="n">
        <f aca="false">2924.92</f>
        <v>2924.92</v>
      </c>
      <c r="O174" s="168" t="n">
        <v>8</v>
      </c>
      <c r="P174" s="166" t="n">
        <v>5286</v>
      </c>
      <c r="Q174" s="166" t="n">
        <f aca="false">R174+S174</f>
        <v>5286</v>
      </c>
      <c r="R174" s="166" t="n">
        <f aca="false">881+2114.4+2290.6</f>
        <v>5286</v>
      </c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17"/>
      <c r="B175" s="18" t="s">
        <v>157</v>
      </c>
      <c r="C175" s="19"/>
      <c r="D175" s="19"/>
      <c r="E175" s="127"/>
      <c r="F175" s="22"/>
      <c r="G175" s="146" t="s">
        <v>22</v>
      </c>
      <c r="H175" s="147" t="n">
        <v>12</v>
      </c>
      <c r="I175" s="148" t="n">
        <v>8</v>
      </c>
      <c r="J175" s="148" t="n">
        <v>11</v>
      </c>
      <c r="K175" s="149" t="n">
        <v>21666.31</v>
      </c>
      <c r="L175" s="149" t="n">
        <f aca="false">M175+N175</f>
        <v>9520.31</v>
      </c>
      <c r="M175" s="149" t="n">
        <v>9520.31</v>
      </c>
      <c r="N175" s="190"/>
      <c r="O175" s="151"/>
      <c r="P175" s="149"/>
      <c r="Q175" s="149" t="n">
        <f aca="false">R175+S175</f>
        <v>0</v>
      </c>
      <c r="R175" s="149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17"/>
      <c r="B176" s="18"/>
      <c r="C176" s="18"/>
      <c r="D176" s="18"/>
      <c r="E176" s="127"/>
      <c r="F176" s="26" t="s">
        <v>202</v>
      </c>
      <c r="G176" s="152" t="s">
        <v>26</v>
      </c>
      <c r="H176" s="176" t="n">
        <v>2</v>
      </c>
      <c r="I176" s="154"/>
      <c r="J176" s="154"/>
      <c r="K176" s="155"/>
      <c r="L176" s="155" t="n">
        <f aca="false">M176+N176</f>
        <v>0</v>
      </c>
      <c r="M176" s="155"/>
      <c r="N176" s="156"/>
      <c r="O176" s="157" t="n">
        <v>2</v>
      </c>
      <c r="P176" s="155"/>
      <c r="Q176" s="155" t="n">
        <f aca="false">R176+S176</f>
        <v>0</v>
      </c>
      <c r="R176" s="155"/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33"/>
      <c r="B177" s="34" t="s">
        <v>117</v>
      </c>
      <c r="C177" s="35" t="s">
        <v>33</v>
      </c>
      <c r="D177" s="35" t="s">
        <v>118</v>
      </c>
      <c r="E177" s="74" t="s">
        <v>25</v>
      </c>
      <c r="F177" s="89"/>
      <c r="G177" s="158" t="s">
        <v>22</v>
      </c>
      <c r="H177" s="169"/>
      <c r="I177" s="160"/>
      <c r="J177" s="160"/>
      <c r="K177" s="161"/>
      <c r="L177" s="161" t="n">
        <f aca="false">M177+N177</f>
        <v>0</v>
      </c>
      <c r="M177" s="161"/>
      <c r="N177" s="190"/>
      <c r="O177" s="163"/>
      <c r="P177" s="161"/>
      <c r="Q177" s="161" t="n">
        <f aca="false">R177+S177</f>
        <v>0</v>
      </c>
      <c r="R177" s="161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33"/>
      <c r="B178" s="34"/>
      <c r="C178" s="34"/>
      <c r="D178" s="34"/>
      <c r="E178" s="34"/>
      <c r="F178" s="42"/>
      <c r="G178" s="158" t="s">
        <v>23</v>
      </c>
      <c r="H178" s="169"/>
      <c r="I178" s="160"/>
      <c r="J178" s="160"/>
      <c r="K178" s="161"/>
      <c r="L178" s="161" t="n">
        <f aca="false">M178+N178</f>
        <v>0</v>
      </c>
      <c r="M178" s="161"/>
      <c r="N178" s="167"/>
      <c r="O178" s="163" t="n">
        <v>2</v>
      </c>
      <c r="P178" s="161" t="n">
        <v>1762</v>
      </c>
      <c r="Q178" s="161" t="n">
        <v>1762</v>
      </c>
      <c r="R178" s="161" t="n">
        <v>1762</v>
      </c>
      <c r="S178" s="167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33"/>
      <c r="B179" s="34"/>
      <c r="C179" s="34"/>
      <c r="D179" s="34"/>
      <c r="E179" s="34"/>
      <c r="F179" s="42"/>
      <c r="G179" s="164" t="s">
        <v>26</v>
      </c>
      <c r="H179" s="153"/>
      <c r="I179" s="165"/>
      <c r="J179" s="165"/>
      <c r="K179" s="166"/>
      <c r="L179" s="166" t="n">
        <f aca="false">M179+N179</f>
        <v>0</v>
      </c>
      <c r="M179" s="166"/>
      <c r="N179" s="156"/>
      <c r="O179" s="168" t="n">
        <v>7</v>
      </c>
      <c r="P179" s="166" t="n">
        <v>5902.7</v>
      </c>
      <c r="Q179" s="166" t="n">
        <f aca="false">R179+S179</f>
        <v>5902.7</v>
      </c>
      <c r="R179" s="166" t="n">
        <f aca="false">1762+1278.41+2862.29</f>
        <v>5902.7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119</v>
      </c>
      <c r="C180" s="19" t="s">
        <v>20</v>
      </c>
      <c r="D180" s="19"/>
      <c r="E180" s="19" t="s">
        <v>25</v>
      </c>
      <c r="F180" s="20"/>
      <c r="G180" s="146" t="s">
        <v>22</v>
      </c>
      <c r="H180" s="169"/>
      <c r="I180" s="148"/>
      <c r="J180" s="148"/>
      <c r="K180" s="149"/>
      <c r="L180" s="149" t="n">
        <f aca="false">M180+N180</f>
        <v>0</v>
      </c>
      <c r="M180" s="149"/>
      <c r="N180" s="190"/>
      <c r="O180" s="151" t="n">
        <v>2</v>
      </c>
      <c r="P180" s="149" t="n">
        <v>2643</v>
      </c>
      <c r="Q180" s="149" t="n">
        <f aca="false">R180+S180</f>
        <v>2643</v>
      </c>
      <c r="R180" s="149" t="n">
        <v>2643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42" t="s">
        <v>203</v>
      </c>
      <c r="G181" s="164" t="s">
        <v>26</v>
      </c>
      <c r="H181" s="175" t="n">
        <v>5</v>
      </c>
      <c r="I181" s="165" t="n">
        <v>2</v>
      </c>
      <c r="J181" s="165" t="n">
        <v>2</v>
      </c>
      <c r="K181" s="166" t="n">
        <v>1812.59</v>
      </c>
      <c r="L181" s="166" t="n">
        <f aca="false">M181+N181</f>
        <v>1812.59</v>
      </c>
      <c r="M181" s="166" t="n">
        <f aca="false">704.8+1107.79</f>
        <v>1812.59</v>
      </c>
      <c r="N181" s="156"/>
      <c r="O181" s="168" t="n">
        <v>3</v>
      </c>
      <c r="P181" s="166" t="n">
        <v>11226.21</v>
      </c>
      <c r="Q181" s="166" t="n">
        <f aca="false">R181+S181</f>
        <v>11226.21</v>
      </c>
      <c r="R181" s="166" t="n">
        <f aca="false">7349.81+50.59+3825.81</f>
        <v>11226.21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225</v>
      </c>
      <c r="C182" s="19"/>
      <c r="D182" s="19"/>
      <c r="E182" s="19"/>
      <c r="F182" s="20"/>
      <c r="G182" s="146" t="s">
        <v>22</v>
      </c>
      <c r="H182" s="147"/>
      <c r="I182" s="148"/>
      <c r="J182" s="148"/>
      <c r="K182" s="149"/>
      <c r="L182" s="149" t="n">
        <f aca="false">M182+N182</f>
        <v>0</v>
      </c>
      <c r="M182" s="149"/>
      <c r="N182" s="190"/>
      <c r="O182" s="151"/>
      <c r="P182" s="149"/>
      <c r="Q182" s="149" t="n">
        <f aca="false">R182+S182</f>
        <v>0</v>
      </c>
      <c r="R182" s="149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17"/>
      <c r="B183" s="18"/>
      <c r="C183" s="18"/>
      <c r="D183" s="18"/>
      <c r="E183" s="18"/>
      <c r="F183" s="26" t="s">
        <v>244</v>
      </c>
      <c r="G183" s="152" t="s">
        <v>23</v>
      </c>
      <c r="H183" s="176" t="n">
        <v>16</v>
      </c>
      <c r="I183" s="154" t="n">
        <v>13</v>
      </c>
      <c r="J183" s="154" t="n">
        <v>13</v>
      </c>
      <c r="K183" s="155" t="n">
        <v>17230</v>
      </c>
      <c r="L183" s="155" t="n">
        <v>15020.8</v>
      </c>
      <c r="M183" s="155" t="n">
        <v>15020.8</v>
      </c>
      <c r="N183" s="156"/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54"/>
      <c r="B184" s="55" t="s">
        <v>120</v>
      </c>
      <c r="C184" s="56" t="s">
        <v>20</v>
      </c>
      <c r="D184" s="56"/>
      <c r="E184" s="56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3</v>
      </c>
      <c r="P184" s="161" t="n">
        <v>3063.78</v>
      </c>
      <c r="Q184" s="161" t="n">
        <f aca="false">R184+S184</f>
        <v>3063.78</v>
      </c>
      <c r="R184" s="161" t="n">
        <v>3063.78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54"/>
      <c r="B185" s="55"/>
      <c r="C185" s="55"/>
      <c r="D185" s="55"/>
      <c r="E185" s="55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56"/>
      <c r="O185" s="168"/>
      <c r="P185" s="166"/>
      <c r="Q185" s="166" t="n">
        <f aca="false">R185+S185</f>
        <v>0</v>
      </c>
      <c r="R185" s="166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72"/>
      <c r="B186" s="18" t="s">
        <v>158</v>
      </c>
      <c r="C186" s="74"/>
      <c r="D186" s="56" t="s">
        <v>204</v>
      </c>
      <c r="E186" s="74"/>
      <c r="F186" s="53"/>
      <c r="G186" s="146" t="s">
        <v>22</v>
      </c>
      <c r="H186" s="195"/>
      <c r="I186" s="196"/>
      <c r="J186" s="196"/>
      <c r="K186" s="197"/>
      <c r="L186" s="197" t="n">
        <f aca="false">M186+N186</f>
        <v>0</v>
      </c>
      <c r="M186" s="197"/>
      <c r="N186" s="190"/>
      <c r="O186" s="199"/>
      <c r="P186" s="197"/>
      <c r="Q186" s="197" t="n">
        <f aca="false">R186+S186</f>
        <v>0</v>
      </c>
      <c r="R186" s="197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" hidden="false" customHeight="false" outlineLevel="0" collapsed="false">
      <c r="A187" s="54"/>
      <c r="B187" s="18"/>
      <c r="C187" s="56"/>
      <c r="D187" s="56"/>
      <c r="E187" s="56"/>
      <c r="F187" s="138" t="s">
        <v>205</v>
      </c>
      <c r="G187" s="152" t="s">
        <v>26</v>
      </c>
      <c r="H187" s="153" t="n">
        <v>7</v>
      </c>
      <c r="I187" s="200" t="n">
        <v>3</v>
      </c>
      <c r="J187" s="200" t="n">
        <v>3</v>
      </c>
      <c r="K187" s="201" t="n">
        <v>4739.06</v>
      </c>
      <c r="L187" s="201" t="n">
        <f aca="false">M187+N187</f>
        <v>0</v>
      </c>
      <c r="M187" s="201"/>
      <c r="N187" s="156"/>
      <c r="O187" s="203"/>
      <c r="P187" s="201"/>
      <c r="Q187" s="201" t="n">
        <f aca="false">R187+S187</f>
        <v>0</v>
      </c>
      <c r="R187" s="201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33"/>
      <c r="B188" s="34" t="s">
        <v>152</v>
      </c>
      <c r="C188" s="35" t="s">
        <v>20</v>
      </c>
      <c r="D188" s="35"/>
      <c r="E188" s="35" t="s">
        <v>25</v>
      </c>
      <c r="F188" s="36"/>
      <c r="G188" s="158" t="s">
        <v>22</v>
      </c>
      <c r="H188" s="169"/>
      <c r="I188" s="160"/>
      <c r="J188" s="160"/>
      <c r="K188" s="161"/>
      <c r="L188" s="161" t="n">
        <f aca="false">M188+N188</f>
        <v>0</v>
      </c>
      <c r="M188" s="161"/>
      <c r="N188" s="190"/>
      <c r="O188" s="163" t="n">
        <v>4</v>
      </c>
      <c r="P188" s="161" t="n">
        <v>7400.4</v>
      </c>
      <c r="Q188" s="161" t="n">
        <f aca="false">R188+S188</f>
        <v>7400.4</v>
      </c>
      <c r="R188" s="161" t="n">
        <v>7400.4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206</v>
      </c>
      <c r="G189" s="164" t="s">
        <v>26</v>
      </c>
      <c r="H189" s="171" t="n">
        <v>4</v>
      </c>
      <c r="I189" s="165"/>
      <c r="J189" s="165" t="n">
        <v>1</v>
      </c>
      <c r="K189" s="166" t="n">
        <v>704.8</v>
      </c>
      <c r="L189" s="166" t="n">
        <v>0</v>
      </c>
      <c r="M189" s="166" t="n">
        <f aca="false">4228.8</f>
        <v>4228.8</v>
      </c>
      <c r="N189" s="156"/>
      <c r="O189" s="168" t="n">
        <v>7</v>
      </c>
      <c r="P189" s="166" t="n">
        <v>12950.7</v>
      </c>
      <c r="Q189" s="161" t="n">
        <f aca="false">R189+S189</f>
        <v>12950.7</v>
      </c>
      <c r="R189" s="166" t="n">
        <f aca="false">2731.1+4228.8+5990.8</f>
        <v>12950.7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122</v>
      </c>
      <c r="C190" s="19" t="s">
        <v>20</v>
      </c>
      <c r="D190" s="19"/>
      <c r="E190" s="19" t="s">
        <v>116</v>
      </c>
      <c r="F190" s="20"/>
      <c r="G190" s="146" t="s">
        <v>22</v>
      </c>
      <c r="H190" s="159" t="n">
        <v>37</v>
      </c>
      <c r="I190" s="148" t="n">
        <v>34</v>
      </c>
      <c r="J190" s="148" t="n">
        <v>48</v>
      </c>
      <c r="K190" s="149" t="n">
        <v>76981</v>
      </c>
      <c r="L190" s="149" t="n">
        <f aca="false">M190+N190</f>
        <v>68722.77</v>
      </c>
      <c r="M190" s="149" t="n">
        <v>68722.77</v>
      </c>
      <c r="N190" s="190"/>
      <c r="O190" s="151" t="n">
        <v>34</v>
      </c>
      <c r="P190" s="149" t="n">
        <v>122132.88</v>
      </c>
      <c r="Q190" s="149" t="n">
        <f aca="false">R190+S190</f>
        <v>112720.04</v>
      </c>
      <c r="R190" s="149" t="n">
        <v>112720.04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152" t="s">
        <v>26</v>
      </c>
      <c r="H191" s="153"/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123</v>
      </c>
      <c r="C192" s="35" t="s">
        <v>20</v>
      </c>
      <c r="D192" s="35"/>
      <c r="E192" s="35" t="s">
        <v>25</v>
      </c>
      <c r="F192" s="36"/>
      <c r="G192" s="146" t="s">
        <v>22</v>
      </c>
      <c r="H192" s="159" t="n">
        <v>8</v>
      </c>
      <c r="I192" s="160" t="n">
        <v>6</v>
      </c>
      <c r="J192" s="160" t="n">
        <v>6</v>
      </c>
      <c r="K192" s="161" t="n">
        <v>5298.16</v>
      </c>
      <c r="L192" s="161" t="n">
        <f aca="false">M192+N192</f>
        <v>4193.56</v>
      </c>
      <c r="M192" s="161" t="n">
        <v>4193.56</v>
      </c>
      <c r="N192" s="190"/>
      <c r="O192" s="163" t="n">
        <v>6</v>
      </c>
      <c r="P192" s="161" t="n">
        <v>10868.41</v>
      </c>
      <c r="Q192" s="161" t="n">
        <f aca="false">R192+S192</f>
        <v>10868.41</v>
      </c>
      <c r="R192" s="161" t="n">
        <v>10868.41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207</v>
      </c>
      <c r="G193" s="164" t="s">
        <v>26</v>
      </c>
      <c r="H193" s="153" t="n">
        <v>6</v>
      </c>
      <c r="I193" s="165" t="n">
        <v>2</v>
      </c>
      <c r="J193" s="165" t="n">
        <v>2</v>
      </c>
      <c r="K193" s="166" t="n">
        <v>1472.8</v>
      </c>
      <c r="L193" s="161" t="n">
        <f aca="false">M193+N193</f>
        <v>552.3</v>
      </c>
      <c r="M193" s="166" t="n">
        <v>0</v>
      </c>
      <c r="N193" s="156" t="n">
        <v>552.3</v>
      </c>
      <c r="O193" s="168" t="n">
        <v>3</v>
      </c>
      <c r="P193" s="166" t="n">
        <v>881</v>
      </c>
      <c r="Q193" s="166" t="n">
        <f aca="false">R193+S193</f>
        <v>7692.7</v>
      </c>
      <c r="R193" s="166" t="n">
        <f aca="false">881</f>
        <v>881</v>
      </c>
      <c r="S193" s="156" t="n">
        <f aca="false">6811.7</f>
        <v>6811.7</v>
      </c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124</v>
      </c>
      <c r="C194" s="19" t="s">
        <v>20</v>
      </c>
      <c r="D194" s="19"/>
      <c r="E194" s="19" t="s">
        <v>88</v>
      </c>
      <c r="F194" s="20"/>
      <c r="G194" s="146" t="s">
        <v>22</v>
      </c>
      <c r="H194" s="159" t="n">
        <v>20</v>
      </c>
      <c r="I194" s="148" t="n">
        <v>13</v>
      </c>
      <c r="J194" s="148" t="n">
        <v>14</v>
      </c>
      <c r="K194" s="149" t="n">
        <v>25635.97</v>
      </c>
      <c r="L194" s="149" t="n">
        <f aca="false">M194+N194</f>
        <v>27094.04</v>
      </c>
      <c r="M194" s="149" t="n">
        <v>9941.39</v>
      </c>
      <c r="N194" s="190" t="n">
        <v>17152.65</v>
      </c>
      <c r="O194" s="151" t="n">
        <v>13</v>
      </c>
      <c r="P194" s="149" t="n">
        <v>27526.97</v>
      </c>
      <c r="Q194" s="149" t="n">
        <f aca="false">R194+S194</f>
        <v>25417.55</v>
      </c>
      <c r="R194" s="149" t="n">
        <v>21526.95</v>
      </c>
      <c r="S194" s="190" t="n">
        <v>3890.6</v>
      </c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42" t="s">
        <v>245</v>
      </c>
      <c r="G195" s="164" t="s">
        <v>23</v>
      </c>
      <c r="H195" s="172" t="n">
        <v>11</v>
      </c>
      <c r="I195" s="165" t="n">
        <v>5</v>
      </c>
      <c r="J195" s="165" t="n">
        <v>5</v>
      </c>
      <c r="K195" s="166" t="n">
        <v>3065.9</v>
      </c>
      <c r="L195" s="166" t="n">
        <v>3065.9</v>
      </c>
      <c r="M195" s="166" t="n">
        <v>3065.9</v>
      </c>
      <c r="N195" s="156"/>
      <c r="O195" s="168" t="n">
        <v>10</v>
      </c>
      <c r="P195" s="166" t="n">
        <v>13133.05</v>
      </c>
      <c r="Q195" s="166" t="n">
        <v>13133.05</v>
      </c>
      <c r="R195" s="166" t="n">
        <v>13133.05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208</v>
      </c>
      <c r="C196" s="19"/>
      <c r="D196" s="19"/>
      <c r="E196" s="127"/>
      <c r="F196" s="20"/>
      <c r="G196" s="146" t="s">
        <v>22</v>
      </c>
      <c r="H196" s="173" t="n">
        <v>40</v>
      </c>
      <c r="I196" s="148" t="n">
        <v>25</v>
      </c>
      <c r="J196" s="148" t="n">
        <v>25</v>
      </c>
      <c r="K196" s="149" t="n">
        <v>31863.12</v>
      </c>
      <c r="L196" s="149" t="n">
        <f aca="false">M196+N196</f>
        <v>30664.96</v>
      </c>
      <c r="M196" s="149" t="n">
        <v>30664.96</v>
      </c>
      <c r="N196" s="190"/>
      <c r="O196" s="151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28"/>
      <c r="F197" s="26" t="s">
        <v>246</v>
      </c>
      <c r="G197" s="152" t="s">
        <v>23</v>
      </c>
      <c r="H197" s="174" t="n">
        <v>12</v>
      </c>
      <c r="I197" s="154" t="n">
        <v>10</v>
      </c>
      <c r="J197" s="154" t="n">
        <v>10</v>
      </c>
      <c r="K197" s="155" t="n">
        <v>6375.01</v>
      </c>
      <c r="L197" s="155" t="n">
        <f aca="false">M197+N197</f>
        <v>6375.01</v>
      </c>
      <c r="M197" s="155" t="n">
        <v>6375.01</v>
      </c>
      <c r="N197" s="156"/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125</v>
      </c>
      <c r="C198" s="35" t="s">
        <v>33</v>
      </c>
      <c r="D198" s="35" t="s">
        <v>126</v>
      </c>
      <c r="E198" s="35" t="s">
        <v>127</v>
      </c>
      <c r="F198" s="36"/>
      <c r="G198" s="158" t="s">
        <v>22</v>
      </c>
      <c r="H198" s="159" t="n">
        <v>16</v>
      </c>
      <c r="I198" s="160" t="n">
        <v>11</v>
      </c>
      <c r="J198" s="160" t="n">
        <v>15</v>
      </c>
      <c r="K198" s="161" t="n">
        <v>45075.64</v>
      </c>
      <c r="L198" s="161" t="n">
        <f aca="false">M198+N198</f>
        <v>36273.83</v>
      </c>
      <c r="M198" s="161" t="n">
        <v>29800.18</v>
      </c>
      <c r="N198" s="190" t="n">
        <v>6473.65</v>
      </c>
      <c r="O198" s="163" t="n">
        <v>14</v>
      </c>
      <c r="P198" s="161" t="n">
        <v>33154.57</v>
      </c>
      <c r="Q198" s="161" t="n">
        <f aca="false">R198+S198</f>
        <v>33154.57</v>
      </c>
      <c r="R198" s="161" t="n">
        <v>33154.57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/>
      <c r="G199" s="164" t="s">
        <v>23</v>
      </c>
      <c r="H199" s="171" t="n">
        <v>34</v>
      </c>
      <c r="I199" s="165" t="n">
        <v>11</v>
      </c>
      <c r="J199" s="165" t="n">
        <v>11</v>
      </c>
      <c r="K199" s="166" t="n">
        <v>22763.13</v>
      </c>
      <c r="L199" s="166" t="n">
        <v>18897.03</v>
      </c>
      <c r="M199" s="166" t="n">
        <v>18897.03</v>
      </c>
      <c r="N199" s="156"/>
      <c r="O199" s="168" t="n">
        <v>22</v>
      </c>
      <c r="P199" s="166" t="n">
        <v>42715.42</v>
      </c>
      <c r="Q199" s="166" t="n">
        <v>42715.42</v>
      </c>
      <c r="R199" s="166" t="n">
        <v>42715.42</v>
      </c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" hidden="false" customHeight="true" outlineLevel="0" collapsed="false">
      <c r="A200" s="17"/>
      <c r="B200" s="18" t="s">
        <v>128</v>
      </c>
      <c r="C200" s="19" t="s">
        <v>20</v>
      </c>
      <c r="D200" s="19"/>
      <c r="E200" s="19" t="s">
        <v>25</v>
      </c>
      <c r="F200" s="20"/>
      <c r="G200" s="146" t="s">
        <v>22</v>
      </c>
      <c r="H200" s="159" t="n">
        <v>25</v>
      </c>
      <c r="I200" s="148" t="n">
        <v>22</v>
      </c>
      <c r="J200" s="148" t="n">
        <v>25</v>
      </c>
      <c r="K200" s="149" t="n">
        <v>24009.25</v>
      </c>
      <c r="L200" s="149" t="n">
        <f aca="false">M200+N200</f>
        <v>23180.8</v>
      </c>
      <c r="M200" s="149" t="n">
        <v>13365.9</v>
      </c>
      <c r="N200" s="190" t="n">
        <v>9814.9</v>
      </c>
      <c r="O200" s="151" t="n">
        <v>25</v>
      </c>
      <c r="P200" s="149" t="n">
        <v>47491.14</v>
      </c>
      <c r="Q200" s="149" t="n">
        <f aca="false">R200+S200</f>
        <v>47491.14</v>
      </c>
      <c r="R200" s="149" t="n">
        <v>42740.26</v>
      </c>
      <c r="S200" s="190" t="n">
        <v>4750.88</v>
      </c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71"/>
      <c r="G201" s="164" t="s">
        <v>26</v>
      </c>
      <c r="H201" s="175"/>
      <c r="I201" s="165"/>
      <c r="J201" s="165"/>
      <c r="K201" s="166"/>
      <c r="L201" s="166" t="n">
        <f aca="false">M201+N201</f>
        <v>0</v>
      </c>
      <c r="M201" s="166"/>
      <c r="N201" s="156"/>
      <c r="O201" s="168"/>
      <c r="P201" s="166"/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227</v>
      </c>
      <c r="C202" s="19"/>
      <c r="D202" s="19"/>
      <c r="E202" s="19"/>
      <c r="F202" s="20"/>
      <c r="G202" s="204" t="s">
        <v>22</v>
      </c>
      <c r="H202" s="173" t="n">
        <v>6</v>
      </c>
      <c r="I202" s="148" t="n">
        <v>1</v>
      </c>
      <c r="J202" s="148" t="n">
        <v>1</v>
      </c>
      <c r="K202" s="149" t="n">
        <v>621.99</v>
      </c>
      <c r="L202" s="149" t="n">
        <f aca="false">M202+N202</f>
        <v>0</v>
      </c>
      <c r="M202" s="149"/>
      <c r="N202" s="190"/>
      <c r="O202" s="206"/>
      <c r="P202" s="149"/>
      <c r="Q202" s="149" t="n">
        <f aca="false">R202+S202</f>
        <v>0</v>
      </c>
      <c r="R202" s="149"/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251" t="s">
        <v>26</v>
      </c>
      <c r="H203" s="177"/>
      <c r="I203" s="165"/>
      <c r="J203" s="165"/>
      <c r="K203" s="166"/>
      <c r="L203" s="166" t="n">
        <f aca="false">M203+N203</f>
        <v>0</v>
      </c>
      <c r="M203" s="166"/>
      <c r="N203" s="167"/>
      <c r="O203" s="23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296</v>
      </c>
      <c r="C204" s="19"/>
      <c r="D204" s="19"/>
      <c r="E204" s="19" t="s">
        <v>25</v>
      </c>
      <c r="F204" s="20"/>
      <c r="G204" s="146" t="s">
        <v>22</v>
      </c>
      <c r="H204" s="173" t="n">
        <v>2</v>
      </c>
      <c r="I204" s="148"/>
      <c r="J204" s="148"/>
      <c r="K204" s="149"/>
      <c r="L204" s="149" t="n">
        <f aca="false">M204+N204</f>
        <v>0</v>
      </c>
      <c r="M204" s="149"/>
      <c r="N204" s="150"/>
      <c r="O204" s="206"/>
      <c r="P204" s="149"/>
      <c r="Q204" s="149" t="n">
        <f aca="false">R204+S204</f>
        <v>0</v>
      </c>
      <c r="R204" s="149"/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57"/>
      <c r="G205" s="152" t="s">
        <v>26</v>
      </c>
      <c r="H205" s="174"/>
      <c r="I205" s="154"/>
      <c r="J205" s="154"/>
      <c r="K205" s="155"/>
      <c r="L205" s="155" t="n">
        <f aca="false">M205+N205</f>
        <v>0</v>
      </c>
      <c r="M205" s="155"/>
      <c r="N205" s="156"/>
      <c r="O205" s="209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129</v>
      </c>
      <c r="C206" s="35" t="s">
        <v>38</v>
      </c>
      <c r="D206" s="35" t="s">
        <v>130</v>
      </c>
      <c r="E206" s="35" t="s">
        <v>25</v>
      </c>
      <c r="F206" s="36"/>
      <c r="G206" s="158" t="s">
        <v>22</v>
      </c>
      <c r="H206" s="159" t="n">
        <v>16</v>
      </c>
      <c r="I206" s="160" t="n">
        <v>12</v>
      </c>
      <c r="J206" s="160" t="n">
        <v>12</v>
      </c>
      <c r="K206" s="161" t="n">
        <v>13026.32</v>
      </c>
      <c r="L206" s="161" t="n">
        <f aca="false">M206+N206</f>
        <v>8519.19</v>
      </c>
      <c r="M206" s="161" t="n">
        <v>8519.19</v>
      </c>
      <c r="N206" s="190"/>
      <c r="O206" s="163" t="n">
        <v>5</v>
      </c>
      <c r="P206" s="161" t="n">
        <v>66458.37</v>
      </c>
      <c r="Q206" s="161" t="n">
        <f aca="false">R206+S206</f>
        <v>66458.37</v>
      </c>
      <c r="R206" s="161" t="n">
        <v>66458.37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209</v>
      </c>
      <c r="G207" s="164" t="s">
        <v>26</v>
      </c>
      <c r="H207" s="153" t="n">
        <v>5</v>
      </c>
      <c r="I207" s="165" t="n">
        <v>1</v>
      </c>
      <c r="J207" s="165" t="n">
        <v>1</v>
      </c>
      <c r="K207" s="166" t="n">
        <v>1762</v>
      </c>
      <c r="L207" s="161" t="n">
        <f aca="false">M207+N207</f>
        <v>1762</v>
      </c>
      <c r="M207" s="166" t="n">
        <f aca="false">1762</f>
        <v>1762</v>
      </c>
      <c r="N207" s="156"/>
      <c r="O207" s="168" t="n">
        <v>7</v>
      </c>
      <c r="P207" s="166" t="n">
        <v>22040.1</v>
      </c>
      <c r="Q207" s="166" t="n">
        <f aca="false">R207+S207</f>
        <v>22040.1</v>
      </c>
      <c r="R207" s="166" t="n">
        <f aca="false">881+881+14612.2+1409.5+4256.4</f>
        <v>22040.1</v>
      </c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17"/>
      <c r="B208" s="18" t="s">
        <v>131</v>
      </c>
      <c r="C208" s="19" t="s">
        <v>38</v>
      </c>
      <c r="D208" s="19" t="s">
        <v>130</v>
      </c>
      <c r="E208" s="19" t="s">
        <v>25</v>
      </c>
      <c r="F208" s="20"/>
      <c r="G208" s="146" t="s">
        <v>22</v>
      </c>
      <c r="H208" s="159" t="n">
        <v>10</v>
      </c>
      <c r="I208" s="148" t="n">
        <v>9</v>
      </c>
      <c r="J208" s="148" t="n">
        <v>17</v>
      </c>
      <c r="K208" s="149" t="n">
        <v>55173.64</v>
      </c>
      <c r="L208" s="149" t="n">
        <f aca="false">M208+N208</f>
        <v>55173.64</v>
      </c>
      <c r="M208" s="149" t="n">
        <v>31320.86</v>
      </c>
      <c r="N208" s="190" t="n">
        <v>23852.78</v>
      </c>
      <c r="O208" s="151" t="n">
        <v>17</v>
      </c>
      <c r="P208" s="149" t="n">
        <v>163313.47</v>
      </c>
      <c r="Q208" s="149" t="n">
        <f aca="false">R208+S208</f>
        <v>155776.9</v>
      </c>
      <c r="R208" s="149" t="n">
        <v>151501.71</v>
      </c>
      <c r="S208" s="198" t="n">
        <v>4275.19</v>
      </c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17"/>
      <c r="B209" s="18"/>
      <c r="C209" s="18"/>
      <c r="D209" s="18"/>
      <c r="E209" s="18"/>
      <c r="F209" s="26" t="s">
        <v>210</v>
      </c>
      <c r="G209" s="152" t="s">
        <v>26</v>
      </c>
      <c r="H209" s="153" t="n">
        <v>5</v>
      </c>
      <c r="I209" s="154" t="n">
        <v>4</v>
      </c>
      <c r="J209" s="154" t="n">
        <v>4</v>
      </c>
      <c r="K209" s="155" t="n">
        <v>3034.9</v>
      </c>
      <c r="L209" s="155" t="n">
        <f aca="false">M209+N209</f>
        <v>3034.9</v>
      </c>
      <c r="M209" s="155" t="n">
        <f aca="false">1585.8+528.6</f>
        <v>2114.4</v>
      </c>
      <c r="N209" s="156" t="n">
        <f aca="false">920.5</f>
        <v>920.5</v>
      </c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33"/>
      <c r="B210" s="34" t="s">
        <v>132</v>
      </c>
      <c r="C210" s="35" t="s">
        <v>20</v>
      </c>
      <c r="D210" s="35"/>
      <c r="E210" s="35" t="s">
        <v>69</v>
      </c>
      <c r="F210" s="38"/>
      <c r="G210" s="146" t="s">
        <v>22</v>
      </c>
      <c r="H210" s="159" t="n">
        <v>15</v>
      </c>
      <c r="I210" s="160" t="n">
        <v>13</v>
      </c>
      <c r="J210" s="160" t="n">
        <v>22</v>
      </c>
      <c r="K210" s="161" t="n">
        <v>48207.91</v>
      </c>
      <c r="L210" s="161" t="n">
        <f aca="false">M210+N210</f>
        <v>41900.39</v>
      </c>
      <c r="M210" s="161" t="n">
        <v>23368.97</v>
      </c>
      <c r="N210" s="190" t="n">
        <v>18531.42</v>
      </c>
      <c r="O210" s="163" t="n">
        <v>15</v>
      </c>
      <c r="P210" s="161" t="n">
        <v>65486.6</v>
      </c>
      <c r="Q210" s="161" t="n">
        <f aca="false">R210+S210</f>
        <v>65486.6</v>
      </c>
      <c r="R210" s="161" t="n">
        <v>39943.71</v>
      </c>
      <c r="S210" s="190" t="n">
        <v>25542.89</v>
      </c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33"/>
      <c r="B211" s="34"/>
      <c r="C211" s="34"/>
      <c r="D211" s="34"/>
      <c r="E211" s="34"/>
      <c r="F211" s="42" t="s">
        <v>211</v>
      </c>
      <c r="G211" s="164" t="s">
        <v>26</v>
      </c>
      <c r="H211" s="153" t="n">
        <v>11</v>
      </c>
      <c r="I211" s="165" t="n">
        <v>4</v>
      </c>
      <c r="J211" s="165" t="n">
        <v>4</v>
      </c>
      <c r="K211" s="166" t="n">
        <v>12298.76</v>
      </c>
      <c r="L211" s="166" t="n">
        <f aca="false">M211+N211</f>
        <v>5551.23</v>
      </c>
      <c r="M211" s="166"/>
      <c r="N211" s="156" t="n">
        <v>5551.23</v>
      </c>
      <c r="O211" s="168" t="n">
        <v>1</v>
      </c>
      <c r="P211" s="166" t="n">
        <v>3700.2</v>
      </c>
      <c r="Q211" s="166" t="n">
        <f aca="false">R211+S211</f>
        <v>3700.2</v>
      </c>
      <c r="R211" s="166"/>
      <c r="S211" s="156" t="n">
        <v>3700.2</v>
      </c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72"/>
      <c r="B212" s="73" t="s">
        <v>133</v>
      </c>
      <c r="C212" s="74" t="s">
        <v>20</v>
      </c>
      <c r="D212" s="74"/>
      <c r="E212" s="74" t="s">
        <v>25</v>
      </c>
      <c r="F212" s="22"/>
      <c r="G212" s="146" t="s">
        <v>22</v>
      </c>
      <c r="H212" s="159" t="n">
        <v>4</v>
      </c>
      <c r="I212" s="148" t="n">
        <v>4</v>
      </c>
      <c r="J212" s="148" t="n">
        <v>5</v>
      </c>
      <c r="K212" s="149" t="n">
        <v>7984.73</v>
      </c>
      <c r="L212" s="149" t="n">
        <f aca="false">M212+N212</f>
        <v>7984.73</v>
      </c>
      <c r="M212" s="149" t="n">
        <v>7984.73</v>
      </c>
      <c r="N212" s="190"/>
      <c r="O212" s="151" t="n">
        <v>2</v>
      </c>
      <c r="P212" s="149" t="n">
        <v>4329.79</v>
      </c>
      <c r="Q212" s="149" t="n">
        <f aca="false">R212+S212</f>
        <v>4329.79</v>
      </c>
      <c r="R212" s="149" t="n">
        <v>4329.79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72"/>
      <c r="B213" s="73"/>
      <c r="C213" s="73"/>
      <c r="D213" s="73"/>
      <c r="E213" s="73"/>
      <c r="F213" s="42" t="s">
        <v>212</v>
      </c>
      <c r="G213" s="164" t="s">
        <v>26</v>
      </c>
      <c r="H213" s="171" t="n">
        <v>4</v>
      </c>
      <c r="I213" s="165" t="n">
        <v>1</v>
      </c>
      <c r="J213" s="165" t="n">
        <v>1</v>
      </c>
      <c r="K213" s="166" t="n">
        <v>1409.6</v>
      </c>
      <c r="L213" s="166" t="n">
        <f aca="false">M213+N213</f>
        <v>1409.6</v>
      </c>
      <c r="M213" s="166" t="n">
        <f aca="false">1409.6</f>
        <v>1409.6</v>
      </c>
      <c r="N213" s="156"/>
      <c r="O213" s="168" t="n">
        <v>2</v>
      </c>
      <c r="P213" s="166" t="n">
        <v>2907.3</v>
      </c>
      <c r="Q213" s="166" t="n">
        <f aca="false">R213+S213</f>
        <v>2907.3</v>
      </c>
      <c r="R213" s="166" t="n">
        <f aca="false">1321.5+1585.8</f>
        <v>2907.3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134</v>
      </c>
      <c r="C214" s="74" t="s">
        <v>20</v>
      </c>
      <c r="D214" s="74"/>
      <c r="E214" s="74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</v>
      </c>
      <c r="P214" s="149" t="n">
        <v>13019.26</v>
      </c>
      <c r="Q214" s="149" t="n">
        <f aca="false">R214+S214</f>
        <v>13019.26</v>
      </c>
      <c r="R214" s="149" t="n">
        <v>13019.26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72"/>
      <c r="B215" s="73"/>
      <c r="C215" s="73"/>
      <c r="D215" s="73"/>
      <c r="E215" s="73"/>
      <c r="F215" s="42" t="s">
        <v>213</v>
      </c>
      <c r="G215" s="164" t="s">
        <v>26</v>
      </c>
      <c r="H215" s="153" t="n">
        <v>6</v>
      </c>
      <c r="I215" s="165" t="n">
        <v>1</v>
      </c>
      <c r="J215" s="165" t="n">
        <v>1</v>
      </c>
      <c r="K215" s="166" t="n">
        <v>552.3</v>
      </c>
      <c r="L215" s="166" t="n">
        <f aca="false">M215+N215</f>
        <v>0</v>
      </c>
      <c r="M215" s="166"/>
      <c r="N215" s="156"/>
      <c r="O215" s="168" t="n">
        <v>7</v>
      </c>
      <c r="P215" s="166" t="n">
        <v>34681.92</v>
      </c>
      <c r="Q215" s="166" t="n">
        <f aca="false">R215+S215</f>
        <v>34681.92</v>
      </c>
      <c r="R215" s="166" t="n">
        <f aca="false">19875.62+8633.8</f>
        <v>28509.42</v>
      </c>
      <c r="S215" s="156" t="n">
        <f aca="false">6172.5</f>
        <v>6172.5</v>
      </c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135</v>
      </c>
      <c r="C216" s="19" t="s">
        <v>20</v>
      </c>
      <c r="D216" s="19"/>
      <c r="E216" s="19" t="s">
        <v>69</v>
      </c>
      <c r="F216" s="22"/>
      <c r="G216" s="146" t="s">
        <v>22</v>
      </c>
      <c r="H216" s="159" t="n">
        <v>16</v>
      </c>
      <c r="I216" s="148" t="n">
        <v>7</v>
      </c>
      <c r="J216" s="148" t="n">
        <v>8</v>
      </c>
      <c r="K216" s="149" t="n">
        <v>17185.96</v>
      </c>
      <c r="L216" s="149" t="n">
        <f aca="false">M216+N216</f>
        <v>11754.09</v>
      </c>
      <c r="M216" s="149" t="n">
        <v>11754.09</v>
      </c>
      <c r="N216" s="190"/>
      <c r="O216" s="151" t="n">
        <v>13</v>
      </c>
      <c r="P216" s="149" t="n">
        <v>42132.95</v>
      </c>
      <c r="Q216" s="149" t="n">
        <f aca="false">R216+S216</f>
        <v>42132.95</v>
      </c>
      <c r="R216" s="149" t="n">
        <v>42132.95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277</v>
      </c>
      <c r="G217" s="152" t="s">
        <v>26</v>
      </c>
      <c r="H217" s="171" t="n">
        <v>9</v>
      </c>
      <c r="I217" s="154"/>
      <c r="J217" s="154" t="n">
        <v>2</v>
      </c>
      <c r="K217" s="155" t="n">
        <v>3347.8</v>
      </c>
      <c r="L217" s="155" t="n">
        <f aca="false">M217+N217</f>
        <v>3347.8</v>
      </c>
      <c r="M217" s="155"/>
      <c r="N217" s="156" t="n">
        <f aca="false">3347.8</f>
        <v>3347.8</v>
      </c>
      <c r="O217" s="157" t="n">
        <v>2</v>
      </c>
      <c r="P217" s="155" t="n">
        <v>2292.9</v>
      </c>
      <c r="Q217" s="155" t="n">
        <f aca="false">R217+S217</f>
        <v>792.9</v>
      </c>
      <c r="R217" s="155" t="n">
        <f aca="false">792.9</f>
        <v>792.9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33"/>
      <c r="B218" s="34" t="s">
        <v>136</v>
      </c>
      <c r="C218" s="35" t="s">
        <v>20</v>
      </c>
      <c r="D218" s="35"/>
      <c r="E218" s="35" t="s">
        <v>98</v>
      </c>
      <c r="F218" s="36"/>
      <c r="G218" s="146" t="s">
        <v>22</v>
      </c>
      <c r="H218" s="159" t="n">
        <v>24</v>
      </c>
      <c r="I218" s="160" t="n">
        <v>16</v>
      </c>
      <c r="J218" s="160" t="n">
        <v>23</v>
      </c>
      <c r="K218" s="161" t="n">
        <v>45170.14</v>
      </c>
      <c r="L218" s="161" t="n">
        <f aca="false">M218+N218</f>
        <v>27069.8</v>
      </c>
      <c r="M218" s="161" t="n">
        <v>27069.8</v>
      </c>
      <c r="N218" s="190"/>
      <c r="O218" s="163" t="n">
        <v>11</v>
      </c>
      <c r="P218" s="161" t="n">
        <v>27613.45</v>
      </c>
      <c r="Q218" s="161" t="n">
        <f aca="false">R218+S218</f>
        <v>14877.54</v>
      </c>
      <c r="R218" s="161" t="n">
        <v>14877.54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247</v>
      </c>
      <c r="G219" s="164" t="s">
        <v>23</v>
      </c>
      <c r="H219" s="171" t="n">
        <v>8</v>
      </c>
      <c r="I219" s="165" t="n">
        <v>6</v>
      </c>
      <c r="J219" s="165" t="n">
        <v>6</v>
      </c>
      <c r="K219" s="166" t="n">
        <v>4052.6</v>
      </c>
      <c r="L219" s="166" t="n">
        <f aca="false">M219+N219</f>
        <v>4052.6</v>
      </c>
      <c r="M219" s="166" t="n">
        <v>4052.6</v>
      </c>
      <c r="N219" s="156"/>
      <c r="O219" s="168" t="n">
        <v>7</v>
      </c>
      <c r="P219" s="166" t="n">
        <v>14800.8</v>
      </c>
      <c r="Q219" s="166" t="n">
        <v>14800.8</v>
      </c>
      <c r="R219" s="166" t="n">
        <v>14800.8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137</v>
      </c>
      <c r="C220" s="19" t="s">
        <v>20</v>
      </c>
      <c r="D220" s="19"/>
      <c r="E220" s="19" t="s">
        <v>25</v>
      </c>
      <c r="F220" s="20"/>
      <c r="G220" s="146" t="s">
        <v>22</v>
      </c>
      <c r="H220" s="169"/>
      <c r="I220" s="148"/>
      <c r="J220" s="148"/>
      <c r="K220" s="149"/>
      <c r="L220" s="149" t="n">
        <f aca="false">M220+N220</f>
        <v>0</v>
      </c>
      <c r="M220" s="149"/>
      <c r="N220" s="190"/>
      <c r="O220" s="151" t="n">
        <v>14</v>
      </c>
      <c r="P220" s="149" t="n">
        <v>46258.85</v>
      </c>
      <c r="Q220" s="149" t="n">
        <f aca="false">R220+S220</f>
        <v>46258.85</v>
      </c>
      <c r="R220" s="149"/>
      <c r="S220" s="190" t="n">
        <v>46258.85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20.25" hidden="false" customHeight="true" outlineLevel="0" collapsed="false">
      <c r="A221" s="17"/>
      <c r="B221" s="18"/>
      <c r="C221" s="18"/>
      <c r="D221" s="18"/>
      <c r="E221" s="18"/>
      <c r="F221" s="26" t="s">
        <v>286</v>
      </c>
      <c r="G221" s="152" t="s">
        <v>26</v>
      </c>
      <c r="H221" s="153" t="n">
        <v>11</v>
      </c>
      <c r="I221" s="154" t="n">
        <v>7</v>
      </c>
      <c r="J221" s="154" t="n">
        <v>7</v>
      </c>
      <c r="K221" s="155" t="n">
        <v>7443.85</v>
      </c>
      <c r="L221" s="155" t="n">
        <f aca="false">M221+N221</f>
        <v>0</v>
      </c>
      <c r="M221" s="155"/>
      <c r="N221" s="156"/>
      <c r="O221" s="157" t="n">
        <v>7</v>
      </c>
      <c r="P221" s="155"/>
      <c r="Q221" s="155" t="n">
        <f aca="false">R221+S221</f>
        <v>0</v>
      </c>
      <c r="R221" s="155"/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138</v>
      </c>
      <c r="C222" s="56" t="s">
        <v>33</v>
      </c>
      <c r="D222" s="56" t="s">
        <v>139</v>
      </c>
      <c r="E222" s="56" t="s">
        <v>25</v>
      </c>
      <c r="F222" s="36"/>
      <c r="G222" s="146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/>
      <c r="P222" s="161"/>
      <c r="Q222" s="161" t="n">
        <f aca="false">R222+S222</f>
        <v>0</v>
      </c>
      <c r="R222" s="161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26" t="s">
        <v>214</v>
      </c>
      <c r="G223" s="152" t="s">
        <v>26</v>
      </c>
      <c r="H223" s="171" t="n">
        <v>6</v>
      </c>
      <c r="I223" s="154" t="n">
        <v>2</v>
      </c>
      <c r="J223" s="154" t="n">
        <v>2</v>
      </c>
      <c r="K223" s="155" t="n">
        <v>4158.32</v>
      </c>
      <c r="L223" s="155" t="n">
        <f aca="false">M223+N223</f>
        <v>4158.32</v>
      </c>
      <c r="M223" s="155" t="n">
        <f aca="false">2466.8+1691.52</f>
        <v>4158.32</v>
      </c>
      <c r="N223" s="156"/>
      <c r="O223" s="157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140</v>
      </c>
      <c r="C224" s="35" t="s">
        <v>20</v>
      </c>
      <c r="D224" s="35"/>
      <c r="E224" s="35" t="s">
        <v>141</v>
      </c>
      <c r="F224" s="36"/>
      <c r="G224" s="146" t="s">
        <v>22</v>
      </c>
      <c r="H224" s="159" t="n">
        <v>19</v>
      </c>
      <c r="I224" s="160" t="n">
        <v>15</v>
      </c>
      <c r="J224" s="160" t="n">
        <v>22</v>
      </c>
      <c r="K224" s="161" t="n">
        <v>34695.58</v>
      </c>
      <c r="L224" s="161" t="n">
        <f aca="false">M224+N224</f>
        <v>31020.02</v>
      </c>
      <c r="M224" s="161" t="n">
        <v>16759.36</v>
      </c>
      <c r="N224" s="190" t="n">
        <v>14260.66</v>
      </c>
      <c r="O224" s="163" t="n">
        <v>12</v>
      </c>
      <c r="P224" s="161" t="n">
        <v>72912.46</v>
      </c>
      <c r="Q224" s="161" t="n">
        <f aca="false">R224+S224</f>
        <v>72912.46</v>
      </c>
      <c r="R224" s="161" t="n">
        <v>65251.23</v>
      </c>
      <c r="S224" s="190" t="n">
        <v>7661.23</v>
      </c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215</v>
      </c>
      <c r="G225" s="164" t="s">
        <v>26</v>
      </c>
      <c r="H225" s="175" t="n">
        <v>2</v>
      </c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251</v>
      </c>
      <c r="C226" s="19" t="s">
        <v>20</v>
      </c>
      <c r="D226" s="19"/>
      <c r="E226" s="19" t="s">
        <v>116</v>
      </c>
      <c r="F226" s="20"/>
      <c r="G226" s="146" t="s">
        <v>22</v>
      </c>
      <c r="H226" s="173" t="n">
        <v>6</v>
      </c>
      <c r="I226" s="148" t="n">
        <v>5</v>
      </c>
      <c r="J226" s="148" t="n">
        <v>5</v>
      </c>
      <c r="K226" s="149" t="n">
        <v>6613.73</v>
      </c>
      <c r="L226" s="166" t="n">
        <f aca="false">M226+N226</f>
        <v>3851.92</v>
      </c>
      <c r="M226" s="149" t="n">
        <v>3851.92</v>
      </c>
      <c r="N226" s="190"/>
      <c r="O226" s="206"/>
      <c r="P226" s="149"/>
      <c r="Q226" s="149"/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252</v>
      </c>
      <c r="G227" s="152" t="s">
        <v>26</v>
      </c>
      <c r="H227" s="174" t="n">
        <v>8</v>
      </c>
      <c r="I227" s="154"/>
      <c r="J227" s="154"/>
      <c r="K227" s="155"/>
      <c r="L227" s="166" t="n">
        <f aca="false">M227+N227</f>
        <v>0</v>
      </c>
      <c r="M227" s="155"/>
      <c r="N227" s="156"/>
      <c r="O227" s="209"/>
      <c r="P227" s="155"/>
      <c r="Q227" s="155"/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142</v>
      </c>
      <c r="C228" s="56" t="s">
        <v>20</v>
      </c>
      <c r="D228" s="56"/>
      <c r="E228" s="56" t="s">
        <v>25</v>
      </c>
      <c r="F228" s="36"/>
      <c r="G228" s="158" t="s">
        <v>22</v>
      </c>
      <c r="H228" s="173" t="n">
        <v>6</v>
      </c>
      <c r="I228" s="148" t="n">
        <v>5</v>
      </c>
      <c r="J228" s="148" t="n">
        <v>5</v>
      </c>
      <c r="K228" s="149" t="n">
        <v>3970.58</v>
      </c>
      <c r="L228" s="149" t="n">
        <f aca="false">M228+N228</f>
        <v>3970.58</v>
      </c>
      <c r="M228" s="149" t="n">
        <v>3418.28</v>
      </c>
      <c r="N228" s="190" t="n">
        <v>552.3</v>
      </c>
      <c r="O228" s="228" t="n">
        <v>6</v>
      </c>
      <c r="P228" s="161" t="n">
        <v>10969.43</v>
      </c>
      <c r="Q228" s="161" t="n">
        <f aca="false">R228+S228</f>
        <v>10969.43</v>
      </c>
      <c r="R228" s="161" t="n">
        <v>8844.46</v>
      </c>
      <c r="S228" s="190" t="n">
        <v>2124.97</v>
      </c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42" t="s">
        <v>216</v>
      </c>
      <c r="G229" s="164" t="s">
        <v>26</v>
      </c>
      <c r="H229" s="177" t="n">
        <v>9</v>
      </c>
      <c r="I229" s="165" t="n">
        <v>4</v>
      </c>
      <c r="J229" s="165" t="n">
        <v>4</v>
      </c>
      <c r="K229" s="166" t="n">
        <v>8384.1</v>
      </c>
      <c r="L229" s="166" t="n">
        <f aca="false">M229+N229</f>
        <v>8384.1</v>
      </c>
      <c r="M229" s="166" t="n">
        <f aca="false">5167.21+823.59</f>
        <v>5990.8</v>
      </c>
      <c r="N229" s="167" t="n">
        <f aca="false">2393.3</f>
        <v>2393.3</v>
      </c>
      <c r="O229" s="238" t="n">
        <v>13</v>
      </c>
      <c r="P229" s="166" t="n">
        <v>8633.8</v>
      </c>
      <c r="Q229" s="166" t="n">
        <f aca="false">R229+S229</f>
        <v>8633.8</v>
      </c>
      <c r="R229" s="166" t="n">
        <f aca="false">823.59+1233.4+2819.2+3757.61</f>
        <v>8633.8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287</v>
      </c>
      <c r="C230" s="56" t="s">
        <v>20</v>
      </c>
      <c r="D230" s="19"/>
      <c r="E230" s="56" t="s">
        <v>25</v>
      </c>
      <c r="F230" s="20"/>
      <c r="G230" s="146" t="s">
        <v>22</v>
      </c>
      <c r="H230" s="147"/>
      <c r="I230" s="148"/>
      <c r="J230" s="148"/>
      <c r="K230" s="149"/>
      <c r="L230" s="149" t="n">
        <f aca="false">M230+N230</f>
        <v>0</v>
      </c>
      <c r="M230" s="149"/>
      <c r="N230" s="150"/>
      <c r="O230" s="206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288</v>
      </c>
      <c r="G231" s="152" t="s">
        <v>26</v>
      </c>
      <c r="H231" s="176" t="n">
        <v>5</v>
      </c>
      <c r="I231" s="154" t="n">
        <v>4</v>
      </c>
      <c r="J231" s="154" t="n">
        <v>4</v>
      </c>
      <c r="K231" s="155" t="n">
        <v>3876.4</v>
      </c>
      <c r="L231" s="155" t="n">
        <f aca="false">M231+N231</f>
        <v>3171.6</v>
      </c>
      <c r="M231" s="155" t="n">
        <f aca="false">3171.6</f>
        <v>3171.6</v>
      </c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33"/>
      <c r="B232" s="34" t="s">
        <v>143</v>
      </c>
      <c r="C232" s="35" t="s">
        <v>20</v>
      </c>
      <c r="D232" s="35"/>
      <c r="E232" s="35" t="s">
        <v>25</v>
      </c>
      <c r="F232" s="36"/>
      <c r="G232" s="158" t="s">
        <v>22</v>
      </c>
      <c r="H232" s="169" t="n">
        <v>1</v>
      </c>
      <c r="I232" s="160"/>
      <c r="J232" s="160"/>
      <c r="K232" s="161"/>
      <c r="L232" s="161" t="n">
        <f aca="false">M232+N232</f>
        <v>0</v>
      </c>
      <c r="M232" s="161"/>
      <c r="N232" s="190"/>
      <c r="O232" s="163" t="n">
        <v>1</v>
      </c>
      <c r="P232" s="161" t="n">
        <v>1515.67</v>
      </c>
      <c r="Q232" s="161" t="n">
        <f aca="false">R232+S232</f>
        <v>1515.67</v>
      </c>
      <c r="R232" s="161" t="n">
        <v>1515.67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42" t="s">
        <v>217</v>
      </c>
      <c r="G233" s="164" t="s">
        <v>26</v>
      </c>
      <c r="H233" s="171" t="n">
        <v>8</v>
      </c>
      <c r="I233" s="165" t="n">
        <v>4</v>
      </c>
      <c r="J233" s="165" t="n">
        <v>4</v>
      </c>
      <c r="K233" s="166" t="n">
        <v>9664.55</v>
      </c>
      <c r="L233" s="166" t="n">
        <f aca="false">M233+N233</f>
        <v>11100.6</v>
      </c>
      <c r="M233" s="166" t="n">
        <f aca="false">704.8+10395.8</f>
        <v>11100.6</v>
      </c>
      <c r="N233" s="156"/>
      <c r="O233" s="168" t="n">
        <v>9</v>
      </c>
      <c r="P233" s="166" t="n">
        <v>34775.2</v>
      </c>
      <c r="Q233" s="166" t="n">
        <f aca="false">R233+S233</f>
        <v>21496.4</v>
      </c>
      <c r="R233" s="166" t="n">
        <f aca="false">704.8+13038.8+511.81</f>
        <v>14255.41</v>
      </c>
      <c r="S233" s="156" t="n">
        <v>7240.99</v>
      </c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144</v>
      </c>
      <c r="C234" s="19" t="s">
        <v>20</v>
      </c>
      <c r="D234" s="19"/>
      <c r="E234" s="19" t="s">
        <v>81</v>
      </c>
      <c r="F234" s="20"/>
      <c r="G234" s="146" t="s">
        <v>22</v>
      </c>
      <c r="H234" s="159" t="n">
        <v>13</v>
      </c>
      <c r="I234" s="148" t="n">
        <v>9</v>
      </c>
      <c r="J234" s="148" t="n">
        <v>10</v>
      </c>
      <c r="K234" s="149" t="n">
        <v>9450.57</v>
      </c>
      <c r="L234" s="149" t="n">
        <f aca="false">M234+N234</f>
        <v>7588.94</v>
      </c>
      <c r="M234" s="149" t="n">
        <v>7588.94</v>
      </c>
      <c r="N234" s="190"/>
      <c r="O234" s="151" t="n">
        <v>6</v>
      </c>
      <c r="P234" s="149" t="n">
        <v>24751.07</v>
      </c>
      <c r="Q234" s="149" t="n">
        <f aca="false">R234+S234</f>
        <v>16284.3</v>
      </c>
      <c r="R234" s="149" t="n">
        <v>16284.3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218</v>
      </c>
      <c r="G235" s="152" t="s">
        <v>26</v>
      </c>
      <c r="H235" s="171" t="n">
        <v>7</v>
      </c>
      <c r="I235" s="154" t="n">
        <v>5</v>
      </c>
      <c r="J235" s="154" t="n">
        <v>5</v>
      </c>
      <c r="K235" s="155" t="n">
        <v>7366.4</v>
      </c>
      <c r="L235" s="155" t="n">
        <f aca="false">M235+N235</f>
        <v>5019.13</v>
      </c>
      <c r="M235" s="155" t="n">
        <f aca="false">4052.6</f>
        <v>4052.6</v>
      </c>
      <c r="N235" s="156" t="n">
        <f aca="false">966.53</f>
        <v>966.53</v>
      </c>
      <c r="O235" s="157" t="n">
        <v>2</v>
      </c>
      <c r="P235" s="155" t="n">
        <v>4493.1</v>
      </c>
      <c r="Q235" s="155" t="n">
        <f aca="false">R235+S235</f>
        <v>4493.1</v>
      </c>
      <c r="R235" s="155" t="n">
        <f aca="false">4493.1</f>
        <v>4493.1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33"/>
      <c r="B236" s="34" t="s">
        <v>145</v>
      </c>
      <c r="C236" s="35" t="s">
        <v>20</v>
      </c>
      <c r="D236" s="35"/>
      <c r="E236" s="35" t="s">
        <v>98</v>
      </c>
      <c r="F236" s="36"/>
      <c r="G236" s="146" t="s">
        <v>22</v>
      </c>
      <c r="H236" s="169"/>
      <c r="I236" s="160"/>
      <c r="J236" s="160"/>
      <c r="K236" s="161"/>
      <c r="L236" s="161" t="n">
        <f aca="false">M236+N236</f>
        <v>0</v>
      </c>
      <c r="M236" s="161"/>
      <c r="N236" s="190"/>
      <c r="O236" s="163"/>
      <c r="P236" s="161"/>
      <c r="Q236" s="161" t="n">
        <f aca="false">R236+S236</f>
        <v>0</v>
      </c>
      <c r="R236" s="161"/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34"/>
      <c r="C237" s="34"/>
      <c r="D237" s="34"/>
      <c r="E237" s="34"/>
      <c r="F237" s="71"/>
      <c r="G237" s="164" t="s">
        <v>23</v>
      </c>
      <c r="H237" s="175"/>
      <c r="I237" s="165"/>
      <c r="J237" s="165"/>
      <c r="K237" s="166"/>
      <c r="L237" s="166" t="n">
        <f aca="false">M237+N237</f>
        <v>0</v>
      </c>
      <c r="M237" s="166"/>
      <c r="N237" s="156"/>
      <c r="O237" s="168"/>
      <c r="P237" s="166"/>
      <c r="Q237" s="166" t="n">
        <f aca="false">R237+S237</f>
        <v>0</v>
      </c>
      <c r="R237" s="166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146</v>
      </c>
      <c r="C238" s="19" t="s">
        <v>20</v>
      </c>
      <c r="D238" s="19"/>
      <c r="E238" s="19" t="s">
        <v>25</v>
      </c>
      <c r="F238" s="22"/>
      <c r="G238" s="146" t="s">
        <v>22</v>
      </c>
      <c r="H238" s="173" t="n">
        <v>12</v>
      </c>
      <c r="I238" s="148" t="n">
        <v>9</v>
      </c>
      <c r="J238" s="148" t="n">
        <v>11</v>
      </c>
      <c r="K238" s="149" t="n">
        <v>13677.7</v>
      </c>
      <c r="L238" s="149" t="n">
        <f aca="false">M238+N238</f>
        <v>13677.7</v>
      </c>
      <c r="M238" s="149" t="n">
        <v>10138.98</v>
      </c>
      <c r="N238" s="190" t="n">
        <v>3538.72</v>
      </c>
      <c r="O238" s="206" t="n">
        <v>2</v>
      </c>
      <c r="P238" s="149" t="n">
        <v>15606.38</v>
      </c>
      <c r="Q238" s="149" t="n">
        <f aca="false">R238+S238</f>
        <v>15606.38</v>
      </c>
      <c r="R238" s="149" t="n">
        <v>15606.38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42" t="s">
        <v>219</v>
      </c>
      <c r="G239" s="164" t="s">
        <v>26</v>
      </c>
      <c r="H239" s="178" t="n">
        <v>6</v>
      </c>
      <c r="I239" s="165" t="n">
        <v>2</v>
      </c>
      <c r="J239" s="165" t="n">
        <v>2</v>
      </c>
      <c r="K239" s="166" t="n">
        <v>3150.65</v>
      </c>
      <c r="L239" s="166" t="n">
        <f aca="false">M239+N239</f>
        <v>1585.8</v>
      </c>
      <c r="M239" s="166" t="n">
        <f aca="false">1585.8</f>
        <v>1585.8</v>
      </c>
      <c r="N239" s="167"/>
      <c r="O239" s="238" t="n">
        <v>1</v>
      </c>
      <c r="P239" s="166" t="n">
        <v>1585.8</v>
      </c>
      <c r="Q239" s="166" t="n">
        <f aca="false">R239+S239</f>
        <v>1585.8</v>
      </c>
      <c r="R239" s="166" t="n">
        <v>1585.8</v>
      </c>
      <c r="S239" s="167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17"/>
      <c r="B240" s="18" t="s">
        <v>289</v>
      </c>
      <c r="C240" s="19"/>
      <c r="D240" s="19"/>
      <c r="E240" s="19"/>
      <c r="F240" s="20"/>
      <c r="G240" s="146" t="s">
        <v>22</v>
      </c>
      <c r="H240" s="173" t="n">
        <v>5</v>
      </c>
      <c r="I240" s="148" t="n">
        <v>4</v>
      </c>
      <c r="J240" s="148" t="n">
        <v>7</v>
      </c>
      <c r="K240" s="149" t="n">
        <v>7648.67</v>
      </c>
      <c r="L240" s="149" t="n">
        <f aca="false">M240+N240</f>
        <v>2643</v>
      </c>
      <c r="M240" s="149" t="n">
        <v>2643</v>
      </c>
      <c r="N240" s="224"/>
      <c r="O240" s="151"/>
      <c r="P240" s="149"/>
      <c r="Q240" s="149" t="n">
        <f aca="false">R240+S240</f>
        <v>0</v>
      </c>
      <c r="R240" s="149"/>
      <c r="S240" s="15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57"/>
      <c r="G241" s="152" t="s">
        <v>23</v>
      </c>
      <c r="H241" s="174" t="n">
        <v>2</v>
      </c>
      <c r="I241" s="154" t="n">
        <v>1</v>
      </c>
      <c r="J241" s="154" t="n">
        <v>1</v>
      </c>
      <c r="K241" s="155" t="n">
        <v>2325.84</v>
      </c>
      <c r="L241" s="155" t="n">
        <v>2325.84</v>
      </c>
      <c r="M241" s="155" t="n">
        <v>2325.84</v>
      </c>
      <c r="N241" s="226"/>
      <c r="O241" s="157"/>
      <c r="P241" s="155"/>
      <c r="Q241" s="155" t="n">
        <f aca="false">R241+S241</f>
        <v>0</v>
      </c>
      <c r="R241" s="155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54"/>
      <c r="B242" s="55" t="s">
        <v>147</v>
      </c>
      <c r="C242" s="56" t="s">
        <v>20</v>
      </c>
      <c r="D242" s="56"/>
      <c r="E242" s="56" t="s">
        <v>25</v>
      </c>
      <c r="F242" s="97"/>
      <c r="G242" s="158" t="s">
        <v>22</v>
      </c>
      <c r="H242" s="159" t="n">
        <v>4</v>
      </c>
      <c r="I242" s="160" t="n">
        <v>3</v>
      </c>
      <c r="J242" s="160" t="n">
        <v>3</v>
      </c>
      <c r="K242" s="161" t="n">
        <v>2093.26</v>
      </c>
      <c r="L242" s="161" t="n">
        <f aca="false">M242+N242</f>
        <v>2093.26</v>
      </c>
      <c r="M242" s="161" t="n">
        <v>2093.26</v>
      </c>
      <c r="N242" s="190"/>
      <c r="O242" s="163" t="n">
        <v>5</v>
      </c>
      <c r="P242" s="161" t="n">
        <v>18277.74</v>
      </c>
      <c r="Q242" s="161" t="n">
        <f aca="false">R242+S242</f>
        <v>16436.74</v>
      </c>
      <c r="R242" s="161" t="n">
        <v>16436.74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54"/>
      <c r="B243" s="55"/>
      <c r="C243" s="55"/>
      <c r="D243" s="55"/>
      <c r="E243" s="55"/>
      <c r="F243" s="42" t="s">
        <v>220</v>
      </c>
      <c r="G243" s="164" t="s">
        <v>26</v>
      </c>
      <c r="H243" s="172" t="n">
        <v>12</v>
      </c>
      <c r="I243" s="165" t="n">
        <v>2</v>
      </c>
      <c r="J243" s="165" t="n">
        <v>3</v>
      </c>
      <c r="K243" s="166" t="n">
        <v>9162.4</v>
      </c>
      <c r="L243" s="189" t="n">
        <f aca="false">M243+N243</f>
        <v>4228.8</v>
      </c>
      <c r="M243" s="166" t="n">
        <f aca="false">528.6+3700.2</f>
        <v>4228.8</v>
      </c>
      <c r="N243" s="167"/>
      <c r="O243" s="168" t="n">
        <v>5</v>
      </c>
      <c r="P243" s="166" t="n">
        <v>18677.2</v>
      </c>
      <c r="Q243" s="189" t="n">
        <f aca="false">R243+S243</f>
        <v>18677.2</v>
      </c>
      <c r="R243" s="166" t="n">
        <f aca="false">7048+528.6+5638.4+5462.2</f>
        <v>18677.2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17"/>
      <c r="B244" s="18" t="s">
        <v>297</v>
      </c>
      <c r="C244" s="19"/>
      <c r="D244" s="19"/>
      <c r="E244" s="19" t="s">
        <v>25</v>
      </c>
      <c r="F244" s="22"/>
      <c r="G244" s="146" t="s">
        <v>22</v>
      </c>
      <c r="H244" s="173" t="n">
        <v>3</v>
      </c>
      <c r="I244" s="148"/>
      <c r="J244" s="148"/>
      <c r="K244" s="149"/>
      <c r="L244" s="149" t="n">
        <f aca="false">M244+N244</f>
        <v>0</v>
      </c>
      <c r="M244" s="149"/>
      <c r="N244" s="150"/>
      <c r="O244" s="206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17"/>
      <c r="B245" s="18"/>
      <c r="C245" s="18"/>
      <c r="D245" s="18"/>
      <c r="E245" s="18"/>
      <c r="F245" s="26"/>
      <c r="G245" s="152" t="s">
        <v>26</v>
      </c>
      <c r="H245" s="174"/>
      <c r="I245" s="154"/>
      <c r="J245" s="154"/>
      <c r="K245" s="155"/>
      <c r="L245" s="155" t="n">
        <f aca="false">M245+N245</f>
        <v>0</v>
      </c>
      <c r="M245" s="155"/>
      <c r="N245" s="156"/>
      <c r="O245" s="209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54"/>
      <c r="B246" s="55" t="s">
        <v>148</v>
      </c>
      <c r="C246" s="56" t="s">
        <v>20</v>
      </c>
      <c r="D246" s="56"/>
      <c r="E246" s="56" t="s">
        <v>21</v>
      </c>
      <c r="F246" s="38"/>
      <c r="G246" s="158" t="s">
        <v>22</v>
      </c>
      <c r="H246" s="159" t="n">
        <v>3</v>
      </c>
      <c r="I246" s="160" t="n">
        <v>1</v>
      </c>
      <c r="J246" s="160" t="n">
        <v>1</v>
      </c>
      <c r="K246" s="161" t="n">
        <v>436.1</v>
      </c>
      <c r="L246" s="161" t="n">
        <f aca="false">M246+N246</f>
        <v>436.1</v>
      </c>
      <c r="M246" s="161" t="n">
        <v>436.1</v>
      </c>
      <c r="N246" s="190"/>
      <c r="O246" s="163" t="n">
        <v>1</v>
      </c>
      <c r="P246" s="161" t="n">
        <v>13232.99</v>
      </c>
      <c r="Q246" s="161" t="n">
        <f aca="false">R246+S246</f>
        <v>13232.99</v>
      </c>
      <c r="R246" s="161" t="n">
        <v>13232.99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55"/>
      <c r="C247" s="55"/>
      <c r="D247" s="55"/>
      <c r="E247" s="55"/>
      <c r="F247" s="26" t="s">
        <v>248</v>
      </c>
      <c r="G247" s="152" t="s">
        <v>23</v>
      </c>
      <c r="H247" s="171" t="n">
        <v>2</v>
      </c>
      <c r="I247" s="154"/>
      <c r="J247" s="154"/>
      <c r="K247" s="155"/>
      <c r="L247" s="155" t="n">
        <f aca="false">M247+N247</f>
        <v>0</v>
      </c>
      <c r="M247" s="155"/>
      <c r="N247" s="156"/>
      <c r="O247" s="157" t="n">
        <v>1</v>
      </c>
      <c r="P247" s="155" t="n">
        <v>572.65</v>
      </c>
      <c r="Q247" s="155" t="n">
        <v>572.65</v>
      </c>
      <c r="R247" s="155" t="n">
        <v>572.65</v>
      </c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.75" hidden="false" customHeight="true" outlineLevel="0" collapsed="false">
      <c r="A248" s="99"/>
      <c r="B248" s="100" t="s">
        <v>149</v>
      </c>
      <c r="C248" s="100"/>
      <c r="D248" s="100"/>
      <c r="E248" s="100"/>
      <c r="F248" s="100"/>
      <c r="G248" s="212"/>
      <c r="H248" s="213" t="n">
        <f aca="false">SUM(H9:H247)</f>
        <v>2017</v>
      </c>
      <c r="I248" s="214" t="n">
        <f aca="false">SUM(I9:I247)</f>
        <v>1269</v>
      </c>
      <c r="J248" s="214" t="n">
        <f aca="false">SUM(J9:J247)</f>
        <v>1493</v>
      </c>
      <c r="K248" s="215" t="n">
        <f aca="false">SUM(K9:K247)</f>
        <v>2513973.11</v>
      </c>
      <c r="L248" s="215" t="n">
        <f aca="false">SUM(L9:L247)</f>
        <v>2101368.35</v>
      </c>
      <c r="M248" s="215" t="n">
        <f aca="false">SUM(M9:M247)</f>
        <v>1720198.04</v>
      </c>
      <c r="N248" s="243" t="n">
        <f aca="false">SUM(N9:N247)</f>
        <v>391169.06</v>
      </c>
      <c r="O248" s="244" t="n">
        <f aca="false">SUM(O9:O247)</f>
        <v>1117</v>
      </c>
      <c r="P248" s="245" t="n">
        <f aca="false">SUM(P9:P247)</f>
        <v>4000259.86</v>
      </c>
      <c r="Q248" s="245" t="n">
        <f aca="false">SUM(Q9:Q247)</f>
        <v>3696434.78</v>
      </c>
      <c r="R248" s="245" t="n">
        <f aca="false">SUM(R9:R247)</f>
        <v>3129749.12</v>
      </c>
      <c r="S248" s="246" t="n">
        <f aca="false">SUM(S9:S247)</f>
        <v>586046.76</v>
      </c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 t="s">
        <v>290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true" outlineLevel="0" collapsed="false">
      <c r="A252" s="2"/>
      <c r="B252" s="2"/>
      <c r="C252" s="2"/>
      <c r="D252" s="2"/>
      <c r="E252" s="2"/>
      <c r="F252" s="103"/>
      <c r="G252" s="104" t="s">
        <v>5</v>
      </c>
      <c r="H252" s="104"/>
      <c r="I252" s="104"/>
      <c r="J252" s="104"/>
      <c r="K252" s="104"/>
      <c r="L252" s="104"/>
      <c r="M252" s="104"/>
      <c r="N252" s="104" t="s">
        <v>6</v>
      </c>
      <c r="O252" s="104"/>
      <c r="P252" s="104"/>
      <c r="Q252" s="104"/>
      <c r="R252" s="104"/>
      <c r="S252" s="105" t="s">
        <v>150</v>
      </c>
      <c r="T252" s="105" t="s">
        <v>253</v>
      </c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103"/>
      <c r="G253" s="106" t="s">
        <v>13</v>
      </c>
      <c r="H253" s="106" t="s">
        <v>14</v>
      </c>
      <c r="I253" s="106" t="s">
        <v>15</v>
      </c>
      <c r="J253" s="106" t="s">
        <v>226</v>
      </c>
      <c r="K253" s="106" t="s">
        <v>16</v>
      </c>
      <c r="L253" s="106" t="s">
        <v>17</v>
      </c>
      <c r="M253" s="106" t="s">
        <v>18</v>
      </c>
      <c r="N253" s="106" t="s">
        <v>15</v>
      </c>
      <c r="O253" s="106" t="s">
        <v>226</v>
      </c>
      <c r="P253" s="106" t="s">
        <v>16</v>
      </c>
      <c r="Q253" s="106" t="s">
        <v>17</v>
      </c>
      <c r="R253" s="106" t="s">
        <v>18</v>
      </c>
      <c r="S253" s="105"/>
      <c r="T253" s="105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107" t="s">
        <v>22</v>
      </c>
      <c r="G254" s="108" t="n">
        <f aca="false">SUMIF($G$9:$G$247,$F$254,H9:H247)</f>
        <v>1348</v>
      </c>
      <c r="H254" s="108" t="n">
        <f aca="false">SUMIF($G$9:$G$247,$F$254,I9:I247)</f>
        <v>962</v>
      </c>
      <c r="I254" s="108" t="n">
        <f aca="false">SUMIF($G$9:$G$247,$F$254,J9:J247)</f>
        <v>1182</v>
      </c>
      <c r="J254" s="110" t="n">
        <f aca="false">SUMIF($G$9:$G$247,F254,$K$9:$K$247)</f>
        <v>2000605.02</v>
      </c>
      <c r="K254" s="110" t="n">
        <f aca="false">SUMIF($G$9:$G$247,$F$254,L9:L247)</f>
        <v>1720230.67</v>
      </c>
      <c r="L254" s="110" t="n">
        <f aca="false">SUMIF($G$9:$G$247,$F$254,M9:M247)</f>
        <v>1399037.75</v>
      </c>
      <c r="M254" s="110" t="n">
        <f aca="false">SUMIF($G$9:$G$247,$F$254,N9:N247)</f>
        <v>321192.92</v>
      </c>
      <c r="N254" s="108" t="n">
        <f aca="false">SUMIF($G$9:$G$247,$F$254,O9:O247)</f>
        <v>742</v>
      </c>
      <c r="O254" s="110" t="n">
        <f aca="false">SUMIF($G$9:$G$247,F254,$P$9:$P$247)</f>
        <v>3080175.66</v>
      </c>
      <c r="P254" s="110" t="n">
        <f aca="false">SUMIF($G$9:$G$247,$F$254,Q9:Q247)</f>
        <v>2791034.64</v>
      </c>
      <c r="Q254" s="110" t="n">
        <f aca="false">SUMIF($G$9:$G$247,$F$254,R9:R247)</f>
        <v>2371095.12</v>
      </c>
      <c r="R254" s="110" t="n">
        <f aca="false">SUMIF($G$9:$G$247,$F$254,S9:S247)</f>
        <v>419939.52</v>
      </c>
      <c r="S254" s="110" t="n">
        <f aca="false">Q254+L254</f>
        <v>3770132.87</v>
      </c>
      <c r="T254" s="111" t="n">
        <f aca="false">J254-L254+O254-Q254</f>
        <v>1310647.81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7" t="s">
        <v>26</v>
      </c>
      <c r="G255" s="108" t="n">
        <f aca="false">SUMIF($G$9:$G$247,$F$255,H9:H247)</f>
        <v>432</v>
      </c>
      <c r="H255" s="108" t="n">
        <f aca="false">SUMIF($G$9:$G$247,$F$255,I9:I247)</f>
        <v>169</v>
      </c>
      <c r="I255" s="108" t="n">
        <f aca="false">SUMIF($G$9:$G$247,$F$255,J9:J247)</f>
        <v>173</v>
      </c>
      <c r="J255" s="110" t="n">
        <f aca="false">SUMIF($G$9:$G$247,F255,$K$9:$K$247)</f>
        <v>345424.59</v>
      </c>
      <c r="K255" s="110" t="n">
        <f aca="false">SUMIF($G$9:$G$247,$F$255,L9:L247)</f>
        <v>234136.23</v>
      </c>
      <c r="L255" s="110" t="n">
        <f aca="false">SUMIF($G$9:$G$247,$F$255,M9:M247)</f>
        <v>174158.84</v>
      </c>
      <c r="M255" s="110" t="n">
        <f aca="false">SUMIF($G$9:$G$247,$F$255,N9:N247)</f>
        <v>64206.19</v>
      </c>
      <c r="N255" s="108" t="n">
        <f aca="false">SUMIF($G$9:$G$247,$F$255,O9:O247)</f>
        <v>258</v>
      </c>
      <c r="O255" s="110" t="n">
        <f aca="false">SUMIF($G$9:$G$247,F255,$P$9:$P$247)</f>
        <v>712041.36</v>
      </c>
      <c r="P255" s="110" t="n">
        <f aca="false">SUMIF($G$9:$G$247,$F$255,Q9:Q247)</f>
        <v>710484.2</v>
      </c>
      <c r="Q255" s="110" t="n">
        <f aca="false">SUMIF($G$9:$G$247,$F$255,R9:R247)</f>
        <v>563738.06</v>
      </c>
      <c r="R255" s="110" t="n">
        <f aca="false">SUMIF($G$9:$G$247,$F$255,S9:S247)</f>
        <v>166107.24</v>
      </c>
      <c r="S255" s="110" t="n">
        <f aca="false">Q255+L255</f>
        <v>737896.9</v>
      </c>
      <c r="T255" s="111" t="n">
        <f aca="false">J255-L255+O255-Q255</f>
        <v>319569.05</v>
      </c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23</v>
      </c>
      <c r="G256" s="108" t="n">
        <f aca="false">SUMIF($G$9:$G$247,$F$256,H9:H247)</f>
        <v>237</v>
      </c>
      <c r="H256" s="108" t="n">
        <f aca="false">SUMIF($G$9:$G$247,$F$256,I9:I247)</f>
        <v>138</v>
      </c>
      <c r="I256" s="108" t="n">
        <f aca="false">SUMIF($G$9:$G$247,$F$256,J9:J247)</f>
        <v>138</v>
      </c>
      <c r="J256" s="110" t="n">
        <f aca="false">SUMIF($G$9:$G$247,F256,$K$9:$K$247)</f>
        <v>167943.5</v>
      </c>
      <c r="K256" s="110" t="n">
        <f aca="false">SUMIF($G$9:$G$247,$F$256,L9:L247)</f>
        <v>147001.45</v>
      </c>
      <c r="L256" s="110" t="n">
        <f aca="false">SUMIF($G$9:$G$247,$F$256,M9:M247)</f>
        <v>147001.45</v>
      </c>
      <c r="M256" s="110" t="n">
        <f aca="false">SUMIF($G$9:$G$247,$F$256,N9:N247)</f>
        <v>5769.95</v>
      </c>
      <c r="N256" s="108" t="n">
        <f aca="false">SUMIF($G$9:$G$247,$F$256,O9:O247)</f>
        <v>117</v>
      </c>
      <c r="O256" s="110" t="n">
        <f aca="false">SUMIF($G$9:$G$247,F256,$P$9:$P$247)</f>
        <v>208042.84</v>
      </c>
      <c r="P256" s="110" t="n">
        <f aca="false">SUMIF($G$9:$G$247,$F$256,Q9:Q247)</f>
        <v>194915.94</v>
      </c>
      <c r="Q256" s="110" t="n">
        <f aca="false">SUMIF($G$9:$G$247,$F$256,R9:R247)</f>
        <v>194915.94</v>
      </c>
      <c r="R256" s="110" t="n">
        <f aca="false">SUMIF($G$9:$G$247,$F$256,S9:S247)</f>
        <v>0</v>
      </c>
      <c r="S256" s="110" t="n">
        <f aca="false">Q256+L256</f>
        <v>341917.39</v>
      </c>
      <c r="T256" s="111" t="n">
        <f aca="false">J256-L256+O256-Q256</f>
        <v>34068.95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16" t="n">
        <f aca="false">G256+G255+G254</f>
        <v>2017</v>
      </c>
      <c r="H257" s="216" t="n">
        <f aca="false">H256+H255+H254</f>
        <v>1269</v>
      </c>
      <c r="I257" s="216" t="n">
        <f aca="false">I256+I255+I254</f>
        <v>1493</v>
      </c>
      <c r="J257" s="217" t="n">
        <f aca="false">J256+J255+J254</f>
        <v>2513973.11</v>
      </c>
      <c r="K257" s="217" t="n">
        <f aca="false">K256+K255+K254</f>
        <v>2101368.35</v>
      </c>
      <c r="L257" s="217" t="n">
        <f aca="false">L256+L255+L254</f>
        <v>1720198.04</v>
      </c>
      <c r="M257" s="217" t="n">
        <f aca="false">M256+M255+M254</f>
        <v>391169.06</v>
      </c>
      <c r="N257" s="216" t="n">
        <f aca="false">N256+N255+N254</f>
        <v>1117</v>
      </c>
      <c r="O257" s="217" t="n">
        <f aca="false">O256+O255+O254</f>
        <v>4000259.86</v>
      </c>
      <c r="P257" s="217" t="n">
        <f aca="false">P256+P255+P254</f>
        <v>3696434.78</v>
      </c>
      <c r="Q257" s="217" t="n">
        <f aca="false">Q256+Q255+Q254</f>
        <v>3129749.12</v>
      </c>
      <c r="R257" s="217" t="n">
        <f aca="false">R256+R255+R254</f>
        <v>586046.76</v>
      </c>
      <c r="S257" s="217" t="n">
        <f aca="false">S256+S255+S254</f>
        <v>4849947.16</v>
      </c>
      <c r="T257" s="217" t="n">
        <f aca="false">T256+T255+T254</f>
        <v>1664285.81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F318" s="0" t="s">
        <v>22</v>
      </c>
      <c r="G318" s="0" t="n">
        <v>1348</v>
      </c>
      <c r="H318" s="247" t="n">
        <v>962</v>
      </c>
      <c r="I318" s="247" t="n">
        <v>1182</v>
      </c>
      <c r="J318" s="0" t="n">
        <v>2000605.02</v>
      </c>
      <c r="K318" s="236"/>
      <c r="N318" s="0" t="n">
        <v>742</v>
      </c>
      <c r="O318" s="0" t="n">
        <v>3080175.66</v>
      </c>
    </row>
    <row r="319" customFormat="false" ht="15" hidden="false" customHeight="false" outlineLevel="0" collapsed="false">
      <c r="G319" s="221" t="n">
        <f aca="false">G254-G318</f>
        <v>0</v>
      </c>
      <c r="H319" s="221" t="n">
        <f aca="false">H254-H318</f>
        <v>0</v>
      </c>
      <c r="I319" s="221" t="n">
        <f aca="false">I254-I318</f>
        <v>0</v>
      </c>
      <c r="J319" s="229" t="n">
        <f aca="false">J254-J318</f>
        <v>0</v>
      </c>
      <c r="K319" s="236"/>
      <c r="N319" s="221" t="n">
        <f aca="false">N254-N318</f>
        <v>0</v>
      </c>
      <c r="O319" s="229" t="n">
        <f aca="false">O254-O318</f>
        <v>0</v>
      </c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</sheetData>
  <mergeCells count="59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9"/>
    <mergeCell ref="B177:B179"/>
    <mergeCell ref="C177:C179"/>
    <mergeCell ref="D177:D179"/>
    <mergeCell ref="E177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B186:B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F252:F253"/>
    <mergeCell ref="G252:M252"/>
    <mergeCell ref="N252:R252"/>
    <mergeCell ref="S252:S253"/>
    <mergeCell ref="T252:T25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26</v>
      </c>
      <c r="I11" s="160" t="n">
        <v>18</v>
      </c>
      <c r="J11" s="160" t="n">
        <v>32</v>
      </c>
      <c r="K11" s="161" t="n">
        <v>71801.93</v>
      </c>
      <c r="L11" s="161" t="n">
        <f aca="false">M11+N11</f>
        <v>58793.86</v>
      </c>
      <c r="M11" s="161" t="n">
        <v>58793.86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5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27</v>
      </c>
      <c r="I13" s="148" t="n">
        <v>23</v>
      </c>
      <c r="J13" s="148" t="n">
        <v>34</v>
      </c>
      <c r="K13" s="149" t="n">
        <v>47749.23</v>
      </c>
      <c r="L13" s="149" t="n">
        <f aca="false">M13+N13</f>
        <v>47749.23</v>
      </c>
      <c r="M13" s="149" t="n">
        <v>47749.23</v>
      </c>
      <c r="N13" s="249"/>
      <c r="O13" s="228" t="n">
        <v>6</v>
      </c>
      <c r="P13" s="161" t="n">
        <v>14938.98</v>
      </c>
      <c r="Q13" s="161" t="n">
        <f aca="false">R13+S13</f>
        <v>14938.98</v>
      </c>
      <c r="R13" s="161" t="n">
        <v>14938.98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5</v>
      </c>
      <c r="J14" s="154" t="n">
        <v>5</v>
      </c>
      <c r="K14" s="155" t="n">
        <v>11593.96</v>
      </c>
      <c r="L14" s="155" t="n">
        <f aca="false">M14+N14</f>
        <v>11593.96</v>
      </c>
      <c r="M14" s="155" t="n">
        <f aca="false">1938.2+5638.4+4017.36</f>
        <v>11593.96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8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14</v>
      </c>
      <c r="J21" s="160" t="n">
        <v>16</v>
      </c>
      <c r="K21" s="161" t="n">
        <v>21199.65</v>
      </c>
      <c r="L21" s="161" t="n">
        <f aca="false">M21+N21</f>
        <v>21199.65</v>
      </c>
      <c r="M21" s="161" t="n">
        <v>14830.79</v>
      </c>
      <c r="N21" s="190" t="n">
        <v>6368.86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/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23</v>
      </c>
      <c r="J23" s="160" t="n">
        <v>37</v>
      </c>
      <c r="K23" s="161" t="n">
        <v>50485.39</v>
      </c>
      <c r="L23" s="161" t="n">
        <f aca="false">M23+N23</f>
        <v>50485.39</v>
      </c>
      <c r="M23" s="161" t="n">
        <v>36599.36</v>
      </c>
      <c r="N23" s="190" t="n">
        <v>13886.03</v>
      </c>
      <c r="O23" s="151" t="n">
        <v>24</v>
      </c>
      <c r="P23" s="149" t="n">
        <v>51971.06</v>
      </c>
      <c r="Q23" s="149" t="n">
        <f aca="false">R23+S23</f>
        <v>51971.06</v>
      </c>
      <c r="R23" s="149" t="n">
        <v>47120.13</v>
      </c>
      <c r="S23" s="198" t="n">
        <v>4850.93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/>
      <c r="J24" s="165"/>
      <c r="K24" s="166"/>
      <c r="L24" s="166" t="n">
        <f aca="false">M24+N24</f>
        <v>0</v>
      </c>
      <c r="M24" s="166"/>
      <c r="N24" s="156"/>
      <c r="O24" s="157" t="n">
        <v>2</v>
      </c>
      <c r="P24" s="155" t="n">
        <v>1850.1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23</v>
      </c>
      <c r="I25" s="148" t="n">
        <v>19</v>
      </c>
      <c r="J25" s="148" t="n">
        <v>19</v>
      </c>
      <c r="K25" s="148" t="n">
        <v>7775.37</v>
      </c>
      <c r="L25" s="149" t="n">
        <f aca="false">M25+N25</f>
        <v>7775.28</v>
      </c>
      <c r="M25" s="149" t="n">
        <v>6570.82</v>
      </c>
      <c r="N25" s="190" t="n">
        <v>1204.46</v>
      </c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24</v>
      </c>
      <c r="J27" s="160" t="n">
        <v>37</v>
      </c>
      <c r="K27" s="161" t="n">
        <v>68607.98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3126.95</v>
      </c>
      <c r="M28" s="166" t="n">
        <f aca="false">3126.95</f>
        <v>3126.95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2</v>
      </c>
      <c r="J34" s="165" t="n">
        <v>2</v>
      </c>
      <c r="K34" s="166" t="n">
        <v>3347.8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11</v>
      </c>
      <c r="I38" s="154" t="n">
        <v>6</v>
      </c>
      <c r="J38" s="154" t="n">
        <v>6</v>
      </c>
      <c r="K38" s="155" t="n">
        <v>10577.5</v>
      </c>
      <c r="L38" s="155" t="n">
        <f aca="false">M38+N38</f>
        <v>10301.35</v>
      </c>
      <c r="M38" s="155" t="n">
        <f aca="false">10301.35</f>
        <v>10301.35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14</v>
      </c>
      <c r="J41" s="160" t="n">
        <v>20</v>
      </c>
      <c r="K41" s="161" t="n">
        <v>38560.9</v>
      </c>
      <c r="L41" s="161" t="n">
        <f aca="false">M41+N41</f>
        <v>38560.9</v>
      </c>
      <c r="M41" s="161" t="n">
        <v>38560.9</v>
      </c>
      <c r="N41" s="190"/>
      <c r="O41" s="151" t="n">
        <v>13</v>
      </c>
      <c r="P41" s="149" t="n">
        <v>118843.98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2</v>
      </c>
      <c r="J42" s="154" t="n">
        <v>2</v>
      </c>
      <c r="K42" s="155" t="n">
        <v>4933.6</v>
      </c>
      <c r="L42" s="155" t="n">
        <f aca="false">M42+N42</f>
        <v>4933.6</v>
      </c>
      <c r="M42" s="155" t="n">
        <f aca="false">4933.6</f>
        <v>4933.6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17</v>
      </c>
      <c r="I43" s="160" t="n">
        <v>13</v>
      </c>
      <c r="J43" s="160" t="n">
        <v>17</v>
      </c>
      <c r="K43" s="161" t="n">
        <v>38659.66</v>
      </c>
      <c r="L43" s="161" t="n">
        <f aca="false">M43+N43</f>
        <v>36053.18</v>
      </c>
      <c r="M43" s="161" t="n">
        <v>36053.18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0</v>
      </c>
      <c r="M46" s="166"/>
      <c r="N46" s="156"/>
      <c r="O46" s="168" t="n">
        <v>5</v>
      </c>
      <c r="P46" s="166" t="n">
        <v>15452.4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11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5</v>
      </c>
      <c r="P48" s="155" t="n">
        <v>13567.4</v>
      </c>
      <c r="Q48" s="155" t="n">
        <f aca="false">R48+S48</f>
        <v>16697.1</v>
      </c>
      <c r="R48" s="155" t="n">
        <f aca="false">16697.1</f>
        <v>16697.1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6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55</v>
      </c>
      <c r="I53" s="148" t="n">
        <v>50</v>
      </c>
      <c r="J53" s="148" t="n">
        <v>51</v>
      </c>
      <c r="K53" s="149" t="n">
        <v>64741.74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27</v>
      </c>
      <c r="I55" s="160" t="n">
        <v>19</v>
      </c>
      <c r="J55" s="160" t="n">
        <v>25</v>
      </c>
      <c r="K55" s="161" t="n">
        <v>49769.75</v>
      </c>
      <c r="L55" s="161" t="n">
        <f aca="false">M55+N55</f>
        <v>47432.28</v>
      </c>
      <c r="M55" s="161" t="n">
        <v>28323.14</v>
      </c>
      <c r="N55" s="190" t="n">
        <v>19109.14</v>
      </c>
      <c r="O55" s="151" t="n">
        <v>21</v>
      </c>
      <c r="P55" s="149" t="n">
        <v>76522.71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6</v>
      </c>
      <c r="I57" s="160" t="n">
        <v>3</v>
      </c>
      <c r="J57" s="160" t="n">
        <v>3</v>
      </c>
      <c r="K57" s="161" t="n">
        <v>4345.8</v>
      </c>
      <c r="L57" s="161" t="n">
        <f aca="false">M57+N57</f>
        <v>2654.28</v>
      </c>
      <c r="M57" s="161" t="n">
        <v>2654.28</v>
      </c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1057.2</v>
      </c>
      <c r="M58" s="166" t="n">
        <f aca="false">1057.2</f>
        <v>1057.2</v>
      </c>
      <c r="N58" s="167"/>
      <c r="O58" s="168" t="n">
        <v>9</v>
      </c>
      <c r="P58" s="166" t="n">
        <v>25697.29</v>
      </c>
      <c r="Q58" s="189" t="n">
        <v>25697.29</v>
      </c>
      <c r="R58" s="166" t="n">
        <f aca="false">18120.69+12915.5-4928.17</f>
        <v>26108.02</v>
      </c>
      <c r="S58" s="167" t="n">
        <f aca="false">4928.17</f>
        <v>4928.17</v>
      </c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1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6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5</v>
      </c>
      <c r="I63" s="148" t="n">
        <v>2</v>
      </c>
      <c r="J63" s="148" t="n">
        <v>2</v>
      </c>
      <c r="K63" s="149" t="n">
        <v>881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7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17</v>
      </c>
      <c r="K65" s="161" t="n">
        <v>33199.65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8</v>
      </c>
      <c r="I68" s="154" t="n">
        <v>5</v>
      </c>
      <c r="J68" s="154" t="n">
        <v>5</v>
      </c>
      <c r="K68" s="155" t="n">
        <v>3403.1</v>
      </c>
      <c r="L68" s="155" t="n">
        <f aca="false">M68+N68</f>
        <v>3403.1</v>
      </c>
      <c r="M68" s="155" t="n">
        <v>3403.1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13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21739.72</v>
      </c>
      <c r="M69" s="161" t="n">
        <v>21739.72</v>
      </c>
      <c r="N69" s="190"/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21</v>
      </c>
      <c r="I71" s="148" t="n">
        <v>12</v>
      </c>
      <c r="J71" s="148" t="n">
        <v>13</v>
      </c>
      <c r="K71" s="149" t="n">
        <v>29641.45</v>
      </c>
      <c r="L71" s="149" t="n">
        <f aca="false">M71+N71</f>
        <v>29641.45</v>
      </c>
      <c r="M71" s="149" t="n">
        <v>29641.45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28</v>
      </c>
      <c r="I73" s="160" t="n">
        <v>23</v>
      </c>
      <c r="J73" s="160" t="n">
        <v>28</v>
      </c>
      <c r="K73" s="161" t="n">
        <v>60979.51</v>
      </c>
      <c r="L73" s="161" t="n">
        <f aca="false">M73+N73</f>
        <v>53972.66</v>
      </c>
      <c r="M73" s="161" t="n">
        <v>48676.65</v>
      </c>
      <c r="N73" s="190" t="n">
        <v>5296.01</v>
      </c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14</v>
      </c>
      <c r="I81" s="148" t="n">
        <v>6</v>
      </c>
      <c r="J81" s="148" t="n">
        <v>6</v>
      </c>
      <c r="K81" s="149" t="n">
        <v>24732.4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25</v>
      </c>
      <c r="I82" s="154" t="n">
        <v>13</v>
      </c>
      <c r="J82" s="154" t="n">
        <v>13</v>
      </c>
      <c r="K82" s="155" t="n">
        <v>17952.72</v>
      </c>
      <c r="L82" s="155" t="n">
        <v>15179.42</v>
      </c>
      <c r="M82" s="155" t="n">
        <v>15179.42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4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1</v>
      </c>
      <c r="J86" s="165" t="n">
        <v>1</v>
      </c>
      <c r="K86" s="166" t="n">
        <v>1841</v>
      </c>
      <c r="L86" s="166" t="n">
        <f aca="false">M86+N86</f>
        <v>0</v>
      </c>
      <c r="M86" s="166"/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/>
      <c r="N87" s="190" t="n">
        <v>1212.02</v>
      </c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10</v>
      </c>
      <c r="I89" s="148" t="n">
        <v>6</v>
      </c>
      <c r="J89" s="148" t="n">
        <v>7</v>
      </c>
      <c r="K89" s="149" t="n">
        <v>8723.07</v>
      </c>
      <c r="L89" s="149" t="n">
        <f aca="false">M89+N89</f>
        <v>8723.07</v>
      </c>
      <c r="M89" s="149" t="n">
        <v>8723.07</v>
      </c>
      <c r="N89" s="190"/>
      <c r="O89" s="151" t="n">
        <v>11</v>
      </c>
      <c r="P89" s="149" t="n">
        <v>45595.17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31</v>
      </c>
      <c r="J90" s="165" t="n">
        <v>31</v>
      </c>
      <c r="K90" s="166" t="n">
        <v>36351.5</v>
      </c>
      <c r="L90" s="166" t="n">
        <v>36351.5</v>
      </c>
      <c r="M90" s="166" t="n">
        <v>36351.5</v>
      </c>
      <c r="N90" s="156"/>
      <c r="O90" s="168" t="n">
        <v>35</v>
      </c>
      <c r="P90" s="166" t="n">
        <v>71364.22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7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8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9</v>
      </c>
      <c r="I93" s="148" t="n">
        <v>5</v>
      </c>
      <c r="J93" s="148" t="n">
        <v>5</v>
      </c>
      <c r="K93" s="149" t="n">
        <v>11087.86</v>
      </c>
      <c r="L93" s="149" t="n">
        <f aca="false">M93+N93</f>
        <v>11087.86</v>
      </c>
      <c r="M93" s="149" t="n">
        <v>11087.86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8</v>
      </c>
      <c r="I94" s="154" t="n">
        <v>5</v>
      </c>
      <c r="J94" s="154" t="n">
        <v>5</v>
      </c>
      <c r="K94" s="235" t="n">
        <v>8501.8</v>
      </c>
      <c r="L94" s="155" t="n">
        <f aca="false">M94+N94</f>
        <v>6096.52</v>
      </c>
      <c r="M94" s="155" t="n">
        <f aca="false">2819.2+3277.32</f>
        <v>6096.52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7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9</v>
      </c>
      <c r="I97" s="160" t="n">
        <v>7</v>
      </c>
      <c r="J97" s="160" t="n">
        <v>7</v>
      </c>
      <c r="K97" s="161" t="n">
        <v>12504.79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6</v>
      </c>
      <c r="I98" s="165" t="n">
        <v>3</v>
      </c>
      <c r="J98" s="165" t="n">
        <v>3</v>
      </c>
      <c r="K98" s="166" t="n">
        <v>4052.6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13222.88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6</v>
      </c>
      <c r="I99" s="148" t="n">
        <v>3</v>
      </c>
      <c r="J99" s="148" t="n">
        <v>4</v>
      </c>
      <c r="K99" s="149" t="n">
        <v>7062.57</v>
      </c>
      <c r="L99" s="149" t="n">
        <f aca="false">M99+N99</f>
        <v>7062.57</v>
      </c>
      <c r="M99" s="149" t="n">
        <v>7062.57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/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30</v>
      </c>
      <c r="K101" s="161" t="n">
        <v>61423.43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21</v>
      </c>
      <c r="I103" s="148" t="n">
        <v>15</v>
      </c>
      <c r="J103" s="148" t="n">
        <v>15</v>
      </c>
      <c r="K103" s="149" t="n">
        <v>12723.15</v>
      </c>
      <c r="L103" s="149" t="n">
        <f aca="false">M103+N103</f>
        <v>12723.15</v>
      </c>
      <c r="M103" s="149" t="n">
        <v>12723.15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10</v>
      </c>
      <c r="J105" s="148" t="n">
        <v>12</v>
      </c>
      <c r="K105" s="149" t="n">
        <v>10404.92</v>
      </c>
      <c r="L105" s="149" t="n">
        <f aca="false">M105+N105</f>
        <v>7482.33</v>
      </c>
      <c r="M105" s="149" t="n">
        <v>4148.63</v>
      </c>
      <c r="N105" s="190" t="n">
        <v>3333.7</v>
      </c>
      <c r="O105" s="151" t="n">
        <v>8</v>
      </c>
      <c r="P105" s="149" t="n">
        <v>47130.25</v>
      </c>
      <c r="Q105" s="149" t="n">
        <f aca="false">R105+S105</f>
        <v>12279.73</v>
      </c>
      <c r="R105" s="149" t="n">
        <v>8651.42</v>
      </c>
      <c r="S105" s="190" t="n">
        <v>3628.31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20318.3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3</v>
      </c>
      <c r="I107" s="154" t="n">
        <v>3</v>
      </c>
      <c r="J107" s="154" t="n">
        <v>3</v>
      </c>
      <c r="K107" s="155" t="n">
        <v>6038.2</v>
      </c>
      <c r="L107" s="155" t="n">
        <v>4933.6</v>
      </c>
      <c r="M107" s="155" t="n">
        <v>4933.6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9</v>
      </c>
      <c r="I108" s="160" t="n">
        <v>5</v>
      </c>
      <c r="J108" s="160" t="n">
        <v>6</v>
      </c>
      <c r="K108" s="161" t="n">
        <v>11123.42</v>
      </c>
      <c r="L108" s="161" t="n">
        <f aca="false">M108+N108</f>
        <v>11123.42</v>
      </c>
      <c r="M108" s="161" t="n">
        <v>11123.42</v>
      </c>
      <c r="N108" s="190"/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8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/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30</v>
      </c>
      <c r="I112" s="148" t="n">
        <v>25</v>
      </c>
      <c r="J112" s="148" t="n">
        <v>32</v>
      </c>
      <c r="K112" s="149" t="n">
        <v>44176.55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25421.86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4</v>
      </c>
      <c r="J113" s="165" t="n">
        <v>4</v>
      </c>
      <c r="K113" s="166" t="n">
        <v>11398.05</v>
      </c>
      <c r="L113" s="166" t="n">
        <f aca="false">M113+N113</f>
        <v>6957.5</v>
      </c>
      <c r="M113" s="166" t="n">
        <f aca="false">6957.5</f>
        <v>6957.5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6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30</v>
      </c>
      <c r="I118" s="160" t="n">
        <v>19</v>
      </c>
      <c r="J118" s="160" t="n">
        <v>28</v>
      </c>
      <c r="K118" s="161" t="n">
        <v>51943.96</v>
      </c>
      <c r="L118" s="161" t="n">
        <f aca="false">M118+N118</f>
        <v>46541.91</v>
      </c>
      <c r="M118" s="161" t="n">
        <v>46541.91</v>
      </c>
      <c r="N118" s="190"/>
      <c r="O118" s="163" t="n">
        <v>26</v>
      </c>
      <c r="P118" s="161" t="n">
        <v>50558.54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7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32</v>
      </c>
      <c r="I122" s="148" t="n">
        <v>19</v>
      </c>
      <c r="J122" s="148" t="n">
        <v>23</v>
      </c>
      <c r="K122" s="149" t="n">
        <v>24727.19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23</v>
      </c>
      <c r="I123" s="165" t="n">
        <v>12</v>
      </c>
      <c r="J123" s="165" t="n">
        <v>12</v>
      </c>
      <c r="K123" s="166" t="n">
        <v>11387.4</v>
      </c>
      <c r="L123" s="166" t="n">
        <v>11387.4</v>
      </c>
      <c r="M123" s="166" t="n">
        <v>11387.4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26</v>
      </c>
      <c r="I124" s="148" t="n">
        <v>18</v>
      </c>
      <c r="J124" s="148" t="n">
        <v>24</v>
      </c>
      <c r="K124" s="149" t="n">
        <v>96984.25</v>
      </c>
      <c r="L124" s="149" t="n">
        <f aca="false">M124+N124</f>
        <v>51882.6</v>
      </c>
      <c r="M124" s="149" t="n">
        <v>51882.6</v>
      </c>
      <c r="N124" s="190"/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32</v>
      </c>
      <c r="I126" s="160" t="n">
        <v>13</v>
      </c>
      <c r="J126" s="160" t="n">
        <v>14</v>
      </c>
      <c r="K126" s="161" t="n">
        <v>48790.43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47439.78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7</v>
      </c>
      <c r="J131" s="160" t="n">
        <v>8</v>
      </c>
      <c r="K131" s="161" t="n">
        <v>8606.09</v>
      </c>
      <c r="L131" s="161" t="n">
        <f aca="false">M131+N131</f>
        <v>7391.03</v>
      </c>
      <c r="M131" s="161" t="n">
        <v>4891.75</v>
      </c>
      <c r="N131" s="190" t="n">
        <v>2499.28</v>
      </c>
      <c r="O131" s="163" t="n">
        <v>8</v>
      </c>
      <c r="P131" s="161" t="n">
        <v>22293.04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20</v>
      </c>
      <c r="I136" s="165" t="n">
        <v>14</v>
      </c>
      <c r="J136" s="165" t="n">
        <v>14</v>
      </c>
      <c r="K136" s="166" t="n">
        <v>13017.85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31</v>
      </c>
      <c r="I137" s="148" t="n">
        <v>22</v>
      </c>
      <c r="J137" s="148" t="n">
        <v>29</v>
      </c>
      <c r="K137" s="149" t="n">
        <v>82054.49</v>
      </c>
      <c r="L137" s="149" t="n">
        <f aca="false">M137+N137</f>
        <v>78739.66</v>
      </c>
      <c r="M137" s="149" t="n">
        <v>55268.48</v>
      </c>
      <c r="N137" s="190" t="n">
        <v>23471.18</v>
      </c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14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11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26</v>
      </c>
      <c r="I142" s="160" t="n">
        <v>20</v>
      </c>
      <c r="J142" s="160" t="n">
        <v>20</v>
      </c>
      <c r="K142" s="161" t="n">
        <v>7606.2</v>
      </c>
      <c r="L142" s="161" t="n">
        <f aca="false">M142+N142</f>
        <v>7606.2</v>
      </c>
      <c r="M142" s="161" t="n">
        <v>7606.2</v>
      </c>
      <c r="N142" s="190"/>
      <c r="O142" s="163" t="n">
        <v>24</v>
      </c>
      <c r="P142" s="161" t="n">
        <v>48668.87</v>
      </c>
      <c r="Q142" s="161" t="n">
        <f aca="false">R142+S142</f>
        <v>48668.87</v>
      </c>
      <c r="R142" s="161" t="n">
        <v>48668.87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12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4</v>
      </c>
      <c r="J145" s="148" t="n">
        <v>5</v>
      </c>
      <c r="K145" s="149" t="n">
        <v>4673.26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6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21</v>
      </c>
      <c r="I147" s="160" t="n">
        <v>18</v>
      </c>
      <c r="J147" s="160" t="n">
        <v>19</v>
      </c>
      <c r="K147" s="161" t="n">
        <v>23557.5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7</v>
      </c>
      <c r="P148" s="166" t="n">
        <v>8986.2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5</v>
      </c>
      <c r="I149" s="148" t="n">
        <v>3</v>
      </c>
      <c r="J149" s="148" t="n">
        <v>4</v>
      </c>
      <c r="K149" s="149" t="n">
        <v>8939.41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2</v>
      </c>
      <c r="J150" s="165" t="n">
        <v>2</v>
      </c>
      <c r="K150" s="166" t="n">
        <v>5392.4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11860.54</v>
      </c>
      <c r="Q150" s="166" t="n">
        <f aca="false">R150+S150</f>
        <v>17851.24</v>
      </c>
      <c r="R150" s="166" t="n">
        <f aca="false">17851.24</f>
        <v>17851.24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/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3</v>
      </c>
      <c r="P153" s="161" t="n">
        <v>30540.03</v>
      </c>
      <c r="Q153" s="161" t="n">
        <f aca="false">R153+S153</f>
        <v>30540.03</v>
      </c>
      <c r="R153" s="161" t="n">
        <v>30540.03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26" t="s">
        <v>281</v>
      </c>
      <c r="G154" s="152" t="s">
        <v>26</v>
      </c>
      <c r="H154" s="153" t="n">
        <v>3</v>
      </c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105</v>
      </c>
      <c r="C155" s="35" t="s">
        <v>33</v>
      </c>
      <c r="D155" s="35" t="s">
        <v>106</v>
      </c>
      <c r="E155" s="35" t="s">
        <v>107</v>
      </c>
      <c r="F155" s="36"/>
      <c r="G155" s="146" t="s">
        <v>22</v>
      </c>
      <c r="H155" s="169" t="n">
        <v>8</v>
      </c>
      <c r="I155" s="160" t="n">
        <v>3</v>
      </c>
      <c r="J155" s="160" t="n">
        <v>3</v>
      </c>
      <c r="K155" s="161" t="n">
        <v>2479.18</v>
      </c>
      <c r="L155" s="161" t="n">
        <f aca="false">M155+N155</f>
        <v>1617.46</v>
      </c>
      <c r="M155" s="161" t="n">
        <v>1617.46</v>
      </c>
      <c r="N155" s="190"/>
      <c r="O155" s="163" t="n">
        <v>11</v>
      </c>
      <c r="P155" s="161" t="n">
        <v>54093.04</v>
      </c>
      <c r="Q155" s="161" t="n">
        <f aca="false">R155+S155</f>
        <v>54093.04</v>
      </c>
      <c r="R155" s="161" t="n">
        <v>54093.04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194</v>
      </c>
      <c r="G156" s="164" t="s">
        <v>26</v>
      </c>
      <c r="H156" s="153" t="n">
        <v>2</v>
      </c>
      <c r="I156" s="165"/>
      <c r="J156" s="165"/>
      <c r="K156" s="166"/>
      <c r="L156" s="161" t="n">
        <f aca="false">M156+N156</f>
        <v>0</v>
      </c>
      <c r="M156" s="166" t="n">
        <v>0</v>
      </c>
      <c r="N156" s="156"/>
      <c r="O156" s="168" t="n">
        <v>7</v>
      </c>
      <c r="P156" s="166" t="n">
        <v>23645.16</v>
      </c>
      <c r="Q156" s="166" t="n">
        <f aca="false">R156+S156</f>
        <v>18745.5</v>
      </c>
      <c r="R156" s="166" t="n">
        <f aca="false">4801.4+881+10853.9+2209.2</f>
        <v>18745.5</v>
      </c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72"/>
      <c r="B157" s="73" t="s">
        <v>108</v>
      </c>
      <c r="C157" s="74" t="s">
        <v>33</v>
      </c>
      <c r="D157" s="74" t="s">
        <v>109</v>
      </c>
      <c r="E157" s="74" t="s">
        <v>25</v>
      </c>
      <c r="F157" s="20"/>
      <c r="G157" s="146" t="s">
        <v>22</v>
      </c>
      <c r="H157" s="159" t="n">
        <v>11</v>
      </c>
      <c r="I157" s="148" t="n">
        <v>10</v>
      </c>
      <c r="J157" s="148" t="n">
        <v>11</v>
      </c>
      <c r="K157" s="149" t="n">
        <v>21755.92</v>
      </c>
      <c r="L157" s="149" t="n">
        <f aca="false">M157+N157</f>
        <v>21755.92</v>
      </c>
      <c r="M157" s="149" t="n">
        <v>21755.92</v>
      </c>
      <c r="N157" s="190"/>
      <c r="O157" s="151" t="n">
        <v>22</v>
      </c>
      <c r="P157" s="149" t="n">
        <v>54480.8</v>
      </c>
      <c r="Q157" s="149" t="n">
        <f aca="false">R157+S157</f>
        <v>49670.54</v>
      </c>
      <c r="R157" s="149" t="n">
        <v>49670.54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72"/>
      <c r="B158" s="73"/>
      <c r="C158" s="73"/>
      <c r="D158" s="73"/>
      <c r="E158" s="73"/>
      <c r="F158" s="42" t="s">
        <v>195</v>
      </c>
      <c r="G158" s="164" t="s">
        <v>26</v>
      </c>
      <c r="H158" s="171" t="n">
        <v>9</v>
      </c>
      <c r="I158" s="165" t="n">
        <v>8</v>
      </c>
      <c r="J158" s="165" t="n">
        <v>8</v>
      </c>
      <c r="K158" s="166" t="n">
        <v>25793.28</v>
      </c>
      <c r="L158" s="166" t="n">
        <f aca="false">M158+N158</f>
        <v>16841.7</v>
      </c>
      <c r="M158" s="166" t="n">
        <f aca="false">16841.7</f>
        <v>16841.7</v>
      </c>
      <c r="N158" s="156"/>
      <c r="O158" s="157" t="n">
        <v>15</v>
      </c>
      <c r="P158" s="155" t="n">
        <v>62603.86</v>
      </c>
      <c r="Q158" s="155" t="n">
        <f aca="false">R158+S158</f>
        <v>66838.16</v>
      </c>
      <c r="R158" s="155" t="n">
        <f aca="false">66838.16</f>
        <v>66838.16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110</v>
      </c>
      <c r="C159" s="19" t="s">
        <v>33</v>
      </c>
      <c r="D159" s="19" t="s">
        <v>111</v>
      </c>
      <c r="E159" s="19" t="s">
        <v>25</v>
      </c>
      <c r="F159" s="20"/>
      <c r="G159" s="146" t="s">
        <v>22</v>
      </c>
      <c r="H159" s="159" t="n">
        <v>30</v>
      </c>
      <c r="I159" s="148" t="n">
        <v>21</v>
      </c>
      <c r="J159" s="193" t="n">
        <v>24</v>
      </c>
      <c r="K159" s="149" t="n">
        <v>25113.93</v>
      </c>
      <c r="L159" s="149" t="n">
        <f aca="false">M159+N159</f>
        <v>25113.93</v>
      </c>
      <c r="M159" s="149" t="n">
        <v>25113.93</v>
      </c>
      <c r="N159" s="190"/>
      <c r="O159" s="163" t="n">
        <v>19</v>
      </c>
      <c r="P159" s="161" t="n">
        <v>102702.93</v>
      </c>
      <c r="Q159" s="161" t="n">
        <f aca="false">R159+S159</f>
        <v>101109.38</v>
      </c>
      <c r="R159" s="161" t="n">
        <v>101109.38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42" t="s">
        <v>196</v>
      </c>
      <c r="G160" s="164" t="s">
        <v>26</v>
      </c>
      <c r="H160" s="175" t="n">
        <v>5</v>
      </c>
      <c r="I160" s="165" t="n">
        <v>4</v>
      </c>
      <c r="J160" s="165" t="n">
        <v>3</v>
      </c>
      <c r="K160" s="166" t="n">
        <v>10296.2</v>
      </c>
      <c r="L160" s="166" t="n">
        <f aca="false">4234.3</f>
        <v>4234.3</v>
      </c>
      <c r="M160" s="166"/>
      <c r="N160" s="167"/>
      <c r="O160" s="168" t="n">
        <v>1</v>
      </c>
      <c r="P160" s="166"/>
      <c r="Q160" s="166" t="n">
        <f aca="false">R160+S160</f>
        <v>0</v>
      </c>
      <c r="R160" s="166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40" t="s">
        <v>282</v>
      </c>
      <c r="C161" s="19" t="s">
        <v>33</v>
      </c>
      <c r="D161" s="19" t="s">
        <v>283</v>
      </c>
      <c r="E161" s="19" t="s">
        <v>284</v>
      </c>
      <c r="F161" s="20"/>
      <c r="G161" s="146" t="s">
        <v>22</v>
      </c>
      <c r="H161" s="173"/>
      <c r="I161" s="148"/>
      <c r="J161" s="148"/>
      <c r="K161" s="241"/>
      <c r="L161" s="241" t="n">
        <f aca="false">M161+N161</f>
        <v>0</v>
      </c>
      <c r="M161" s="241"/>
      <c r="N161" s="150"/>
      <c r="O161" s="206"/>
      <c r="P161" s="149"/>
      <c r="Q161" s="149" t="n">
        <f aca="false">R161+S161</f>
        <v>0</v>
      </c>
      <c r="R161" s="149"/>
      <c r="S161" s="15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40"/>
      <c r="C162" s="19"/>
      <c r="D162" s="19"/>
      <c r="E162" s="19"/>
      <c r="F162" s="26" t="s">
        <v>285</v>
      </c>
      <c r="G162" s="152" t="s">
        <v>23</v>
      </c>
      <c r="H162" s="174" t="n">
        <v>6</v>
      </c>
      <c r="I162" s="154" t="n">
        <v>2</v>
      </c>
      <c r="J162" s="154" t="n">
        <v>2</v>
      </c>
      <c r="K162" s="242" t="n">
        <v>1472.8</v>
      </c>
      <c r="L162" s="242" t="n">
        <f aca="false">M162+N162</f>
        <v>1472.8</v>
      </c>
      <c r="M162" s="242" t="n">
        <v>1472.8</v>
      </c>
      <c r="N162" s="156"/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 t="s">
        <v>112</v>
      </c>
      <c r="C163" s="35" t="s">
        <v>20</v>
      </c>
      <c r="D163" s="35" t="s">
        <v>197</v>
      </c>
      <c r="E163" s="35" t="s">
        <v>25</v>
      </c>
      <c r="F163" s="36"/>
      <c r="G163" s="158" t="s">
        <v>22</v>
      </c>
      <c r="H163" s="159" t="n">
        <v>21</v>
      </c>
      <c r="I163" s="160" t="n">
        <v>21</v>
      </c>
      <c r="J163" s="160" t="n">
        <v>29</v>
      </c>
      <c r="K163" s="140" t="n">
        <v>74905.82</v>
      </c>
      <c r="L163" s="140" t="n">
        <f aca="false">M163+N163</f>
        <v>71945.49</v>
      </c>
      <c r="M163" s="140" t="n">
        <v>71945.49</v>
      </c>
      <c r="N163" s="190"/>
      <c r="O163" s="163" t="n">
        <v>7</v>
      </c>
      <c r="P163" s="161" t="n">
        <v>29719.69</v>
      </c>
      <c r="Q163" s="161" t="n">
        <f aca="false">R163+S163</f>
        <v>29719.69</v>
      </c>
      <c r="R163" s="161" t="n">
        <v>29719.69</v>
      </c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26" t="s">
        <v>198</v>
      </c>
      <c r="G164" s="152" t="s">
        <v>26</v>
      </c>
      <c r="H164" s="171" t="n">
        <v>5</v>
      </c>
      <c r="I164" s="165" t="n">
        <v>1</v>
      </c>
      <c r="J164" s="165" t="n">
        <v>1</v>
      </c>
      <c r="K164" s="166" t="n">
        <v>1762</v>
      </c>
      <c r="L164" s="166" t="n">
        <f aca="false">M164+N164</f>
        <v>1321.5</v>
      </c>
      <c r="M164" s="166" t="n">
        <f aca="false">1321.5</f>
        <v>1321.5</v>
      </c>
      <c r="N164" s="156"/>
      <c r="O164" s="168" t="n">
        <v>2</v>
      </c>
      <c r="P164" s="166" t="n">
        <v>27663.4</v>
      </c>
      <c r="Q164" s="166" t="n">
        <f aca="false">R164+S164</f>
        <v>27663.4</v>
      </c>
      <c r="R164" s="166" t="n">
        <f aca="false">27663.4</f>
        <v>27663.4</v>
      </c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113</v>
      </c>
      <c r="C165" s="19" t="s">
        <v>20</v>
      </c>
      <c r="D165" s="19"/>
      <c r="E165" s="19" t="s">
        <v>31</v>
      </c>
      <c r="F165" s="36"/>
      <c r="G165" s="146" t="s">
        <v>22</v>
      </c>
      <c r="H165" s="159" t="n">
        <v>16</v>
      </c>
      <c r="I165" s="148" t="n">
        <v>13</v>
      </c>
      <c r="J165" s="148" t="n">
        <v>16</v>
      </c>
      <c r="K165" s="149" t="n">
        <v>32741.22</v>
      </c>
      <c r="L165" s="149" t="n">
        <f aca="false">M165+N165</f>
        <v>31283.15</v>
      </c>
      <c r="M165" s="149" t="n">
        <v>31283.15</v>
      </c>
      <c r="N165" s="190"/>
      <c r="O165" s="151" t="n">
        <v>10</v>
      </c>
      <c r="P165" s="149" t="n">
        <v>26895.77</v>
      </c>
      <c r="Q165" s="149" t="n">
        <f aca="false">R165+S165</f>
        <v>18834.43</v>
      </c>
      <c r="R165" s="149" t="n">
        <v>18834.43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57"/>
      <c r="G166" s="152" t="s">
        <v>26</v>
      </c>
      <c r="H166" s="153"/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114</v>
      </c>
      <c r="C167" s="35" t="s">
        <v>20</v>
      </c>
      <c r="D167" s="95"/>
      <c r="E167" s="35" t="s">
        <v>25</v>
      </c>
      <c r="F167" s="71"/>
      <c r="G167" s="146" t="s">
        <v>22</v>
      </c>
      <c r="H167" s="169" t="n">
        <v>2</v>
      </c>
      <c r="I167" s="160"/>
      <c r="J167" s="160"/>
      <c r="K167" s="161"/>
      <c r="L167" s="161" t="n">
        <f aca="false">M167+N167</f>
        <v>0</v>
      </c>
      <c r="M167" s="161"/>
      <c r="N167" s="190"/>
      <c r="O167" s="163" t="n">
        <v>3</v>
      </c>
      <c r="P167" s="161" t="n">
        <v>4574.09</v>
      </c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33"/>
      <c r="B168" s="34"/>
      <c r="C168" s="34"/>
      <c r="D168" s="34"/>
      <c r="E168" s="34"/>
      <c r="F168" s="42" t="s">
        <v>274</v>
      </c>
      <c r="G168" s="164" t="s">
        <v>26</v>
      </c>
      <c r="H168" s="175" t="n">
        <v>5</v>
      </c>
      <c r="I168" s="165" t="n">
        <v>5</v>
      </c>
      <c r="J168" s="165" t="n">
        <v>5</v>
      </c>
      <c r="K168" s="166" t="n">
        <v>5596.62</v>
      </c>
      <c r="L168" s="166" t="n">
        <f aca="false">M168+N168</f>
        <v>2692.53</v>
      </c>
      <c r="M168" s="166" t="n">
        <f aca="false">2692.53</f>
        <v>2692.53</v>
      </c>
      <c r="N168" s="156"/>
      <c r="O168" s="168"/>
      <c r="P168" s="166"/>
      <c r="Q168" s="166" t="n">
        <f aca="false">R168+S168</f>
        <v>0</v>
      </c>
      <c r="R168" s="166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 t="s">
        <v>243</v>
      </c>
      <c r="C169" s="219"/>
      <c r="D169" s="19"/>
      <c r="E169" s="19"/>
      <c r="F169" s="20"/>
      <c r="G169" s="146" t="s">
        <v>22</v>
      </c>
      <c r="H169" s="173" t="n">
        <v>5</v>
      </c>
      <c r="I169" s="148" t="n">
        <v>4</v>
      </c>
      <c r="J169" s="148" t="n">
        <v>4</v>
      </c>
      <c r="K169" s="149" t="n">
        <v>4602.74</v>
      </c>
      <c r="L169" s="149" t="n">
        <f aca="false">M169+N169</f>
        <v>4062.29</v>
      </c>
      <c r="M169" s="149" t="n">
        <v>4062.29</v>
      </c>
      <c r="N169" s="190"/>
      <c r="O169" s="206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/>
      <c r="C170" s="18"/>
      <c r="D170" s="18"/>
      <c r="E170" s="18"/>
      <c r="F170" s="26" t="s">
        <v>275</v>
      </c>
      <c r="G170" s="152" t="s">
        <v>26</v>
      </c>
      <c r="H170" s="174" t="n">
        <v>7</v>
      </c>
      <c r="I170" s="154" t="n">
        <v>2</v>
      </c>
      <c r="J170" s="154" t="n">
        <v>2</v>
      </c>
      <c r="K170" s="155" t="n">
        <v>5061.94</v>
      </c>
      <c r="L170" s="155" t="n">
        <f aca="false">M170+N170</f>
        <v>5061.94</v>
      </c>
      <c r="M170" s="155" t="n">
        <f aca="false">5061.94</f>
        <v>5061.94</v>
      </c>
      <c r="N170" s="156"/>
      <c r="O170" s="209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200</v>
      </c>
      <c r="C171" s="220"/>
      <c r="D171" s="56"/>
      <c r="E171" s="56"/>
      <c r="F171" s="36"/>
      <c r="G171" s="158" t="s">
        <v>22</v>
      </c>
      <c r="H171" s="159" t="n">
        <v>25</v>
      </c>
      <c r="I171" s="160" t="n">
        <v>24</v>
      </c>
      <c r="J171" s="160" t="n">
        <v>28</v>
      </c>
      <c r="K171" s="161" t="n">
        <v>44734.37</v>
      </c>
      <c r="L171" s="161" t="n">
        <f aca="false">M171+N171</f>
        <v>44734.37</v>
      </c>
      <c r="M171" s="161" t="n">
        <v>44734.37</v>
      </c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57"/>
      <c r="G172" s="152" t="s">
        <v>26</v>
      </c>
      <c r="H172" s="174" t="n">
        <v>4</v>
      </c>
      <c r="I172" s="154" t="n">
        <v>4</v>
      </c>
      <c r="J172" s="154" t="n">
        <v>4</v>
      </c>
      <c r="K172" s="155" t="n">
        <v>8512.9</v>
      </c>
      <c r="L172" s="155" t="n">
        <f aca="false">M172+N172</f>
        <v>8512.9</v>
      </c>
      <c r="M172" s="155" t="n">
        <f aca="false">8512.9</f>
        <v>8512.9</v>
      </c>
      <c r="N172" s="156"/>
      <c r="O172" s="157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115</v>
      </c>
      <c r="C173" s="56" t="s">
        <v>20</v>
      </c>
      <c r="D173" s="56"/>
      <c r="E173" s="56" t="s">
        <v>116</v>
      </c>
      <c r="F173" s="36"/>
      <c r="G173" s="158" t="s">
        <v>22</v>
      </c>
      <c r="H173" s="159" t="n">
        <v>18</v>
      </c>
      <c r="I173" s="160" t="n">
        <v>15</v>
      </c>
      <c r="J173" s="160" t="n">
        <v>17</v>
      </c>
      <c r="K173" s="161" t="n">
        <v>15676.78</v>
      </c>
      <c r="L173" s="161" t="n">
        <f aca="false">M173+N173</f>
        <v>15676.78</v>
      </c>
      <c r="M173" s="161" t="n">
        <v>15676.78</v>
      </c>
      <c r="N173" s="190"/>
      <c r="O173" s="163" t="n">
        <v>19</v>
      </c>
      <c r="P173" s="161" t="n">
        <v>47256.43</v>
      </c>
      <c r="Q173" s="161" t="n">
        <f aca="false">R173+S173</f>
        <v>46122.58</v>
      </c>
      <c r="R173" s="161" t="n">
        <v>46122.58</v>
      </c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42" t="s">
        <v>201</v>
      </c>
      <c r="G174" s="164" t="s">
        <v>26</v>
      </c>
      <c r="H174" s="172" t="n">
        <v>9</v>
      </c>
      <c r="I174" s="165" t="n">
        <v>4</v>
      </c>
      <c r="J174" s="165" t="n">
        <v>4</v>
      </c>
      <c r="K174" s="166" t="n">
        <v>8915.72</v>
      </c>
      <c r="L174" s="161" t="n">
        <f aca="false">M174+N174</f>
        <v>4510.72</v>
      </c>
      <c r="M174" s="166" t="n">
        <f aca="false">1585.8+2924.92</f>
        <v>4510.72</v>
      </c>
      <c r="N174" s="156"/>
      <c r="O174" s="168" t="n">
        <v>8</v>
      </c>
      <c r="P174" s="166" t="n">
        <v>5286</v>
      </c>
      <c r="Q174" s="166" t="n">
        <f aca="false">R174+S174</f>
        <v>6167</v>
      </c>
      <c r="R174" s="166" t="n">
        <f aca="false">6167</f>
        <v>6167</v>
      </c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17"/>
      <c r="B175" s="18" t="s">
        <v>157</v>
      </c>
      <c r="C175" s="19"/>
      <c r="D175" s="19"/>
      <c r="E175" s="127"/>
      <c r="F175" s="22"/>
      <c r="G175" s="146" t="s">
        <v>22</v>
      </c>
      <c r="H175" s="147" t="n">
        <v>12</v>
      </c>
      <c r="I175" s="148" t="n">
        <v>8</v>
      </c>
      <c r="J175" s="148" t="n">
        <v>11</v>
      </c>
      <c r="K175" s="149" t="n">
        <v>21666.31</v>
      </c>
      <c r="L175" s="149" t="n">
        <f aca="false">M175+N175</f>
        <v>18963.4</v>
      </c>
      <c r="M175" s="149" t="n">
        <v>18963.4</v>
      </c>
      <c r="N175" s="190"/>
      <c r="O175" s="151"/>
      <c r="P175" s="149"/>
      <c r="Q175" s="149" t="n">
        <f aca="false">R175+S175</f>
        <v>0</v>
      </c>
      <c r="R175" s="149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17"/>
      <c r="B176" s="18"/>
      <c r="C176" s="18"/>
      <c r="D176" s="18"/>
      <c r="E176" s="127"/>
      <c r="F176" s="26" t="s">
        <v>202</v>
      </c>
      <c r="G176" s="152" t="s">
        <v>26</v>
      </c>
      <c r="H176" s="176" t="n">
        <v>2</v>
      </c>
      <c r="I176" s="154"/>
      <c r="J176" s="154"/>
      <c r="K176" s="155"/>
      <c r="L176" s="155" t="n">
        <f aca="false">M176+N176</f>
        <v>0</v>
      </c>
      <c r="M176" s="155"/>
      <c r="N176" s="156"/>
      <c r="O176" s="157" t="n">
        <v>2</v>
      </c>
      <c r="P176" s="155"/>
      <c r="Q176" s="155" t="n">
        <f aca="false">R176+S176</f>
        <v>0</v>
      </c>
      <c r="R176" s="155"/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33"/>
      <c r="B177" s="34" t="s">
        <v>117</v>
      </c>
      <c r="C177" s="35" t="s">
        <v>33</v>
      </c>
      <c r="D177" s="35" t="s">
        <v>118</v>
      </c>
      <c r="E177" s="74" t="s">
        <v>25</v>
      </c>
      <c r="F177" s="89"/>
      <c r="G177" s="158" t="s">
        <v>22</v>
      </c>
      <c r="H177" s="169"/>
      <c r="I177" s="160"/>
      <c r="J177" s="160"/>
      <c r="K177" s="161"/>
      <c r="L177" s="161" t="n">
        <f aca="false">M177+N177</f>
        <v>0</v>
      </c>
      <c r="M177" s="161"/>
      <c r="N177" s="190"/>
      <c r="O177" s="163"/>
      <c r="P177" s="161"/>
      <c r="Q177" s="161" t="n">
        <f aca="false">R177+S177</f>
        <v>0</v>
      </c>
      <c r="R177" s="161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33"/>
      <c r="B178" s="34"/>
      <c r="C178" s="34"/>
      <c r="D178" s="34"/>
      <c r="E178" s="34"/>
      <c r="F178" s="42"/>
      <c r="G178" s="158" t="s">
        <v>23</v>
      </c>
      <c r="H178" s="169"/>
      <c r="I178" s="160"/>
      <c r="J178" s="160"/>
      <c r="K178" s="161"/>
      <c r="L178" s="161" t="n">
        <f aca="false">M178+N178</f>
        <v>0</v>
      </c>
      <c r="M178" s="161"/>
      <c r="N178" s="167"/>
      <c r="O178" s="163" t="n">
        <v>2</v>
      </c>
      <c r="P178" s="161" t="n">
        <v>1762</v>
      </c>
      <c r="Q178" s="161" t="n">
        <v>1762</v>
      </c>
      <c r="R178" s="161" t="n">
        <v>1762</v>
      </c>
      <c r="S178" s="167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33"/>
      <c r="B179" s="34"/>
      <c r="C179" s="34"/>
      <c r="D179" s="34"/>
      <c r="E179" s="34"/>
      <c r="F179" s="42"/>
      <c r="G179" s="164" t="s">
        <v>26</v>
      </c>
      <c r="H179" s="153"/>
      <c r="I179" s="165"/>
      <c r="J179" s="165"/>
      <c r="K179" s="166"/>
      <c r="L179" s="166" t="n">
        <f aca="false">M179+N179</f>
        <v>0</v>
      </c>
      <c r="M179" s="166"/>
      <c r="N179" s="156"/>
      <c r="O179" s="168" t="n">
        <v>8</v>
      </c>
      <c r="P179" s="166" t="n">
        <v>5902.7</v>
      </c>
      <c r="Q179" s="166" t="n">
        <f aca="false">R179+S179</f>
        <v>7092.05</v>
      </c>
      <c r="R179" s="166" t="n">
        <f aca="false">1762+1278.41+2862.29+1189.35</f>
        <v>7092.05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119</v>
      </c>
      <c r="C180" s="19" t="s">
        <v>20</v>
      </c>
      <c r="D180" s="19"/>
      <c r="E180" s="19" t="s">
        <v>25</v>
      </c>
      <c r="F180" s="20"/>
      <c r="G180" s="146" t="s">
        <v>22</v>
      </c>
      <c r="H180" s="169"/>
      <c r="I180" s="148"/>
      <c r="J180" s="148"/>
      <c r="K180" s="149"/>
      <c r="L180" s="149" t="n">
        <f aca="false">M180+N180</f>
        <v>0</v>
      </c>
      <c r="M180" s="149"/>
      <c r="N180" s="190"/>
      <c r="O180" s="151" t="n">
        <v>2</v>
      </c>
      <c r="P180" s="149" t="n">
        <v>2643</v>
      </c>
      <c r="Q180" s="149" t="n">
        <f aca="false">R180+S180</f>
        <v>2643</v>
      </c>
      <c r="R180" s="149" t="n">
        <v>2643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42" t="s">
        <v>203</v>
      </c>
      <c r="G181" s="164" t="s">
        <v>26</v>
      </c>
      <c r="H181" s="175" t="n">
        <v>5</v>
      </c>
      <c r="I181" s="165" t="n">
        <v>2</v>
      </c>
      <c r="J181" s="165" t="n">
        <v>2</v>
      </c>
      <c r="K181" s="166" t="n">
        <v>1812.59</v>
      </c>
      <c r="L181" s="166" t="n">
        <f aca="false">M181+N181</f>
        <v>1762</v>
      </c>
      <c r="M181" s="166" t="n">
        <f aca="false">1762</f>
        <v>1762</v>
      </c>
      <c r="N181" s="156"/>
      <c r="O181" s="168" t="n">
        <v>3</v>
      </c>
      <c r="P181" s="166" t="n">
        <v>11226.21</v>
      </c>
      <c r="Q181" s="166" t="n">
        <f aca="false">R181+S181</f>
        <v>11276.8</v>
      </c>
      <c r="R181" s="166" t="n">
        <f aca="false">11276.8</f>
        <v>11276.8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225</v>
      </c>
      <c r="C182" s="19"/>
      <c r="D182" s="19"/>
      <c r="E182" s="19"/>
      <c r="F182" s="20"/>
      <c r="G182" s="146" t="s">
        <v>22</v>
      </c>
      <c r="H182" s="147"/>
      <c r="I182" s="148"/>
      <c r="J182" s="148"/>
      <c r="K182" s="149"/>
      <c r="L182" s="149" t="n">
        <f aca="false">M182+N182</f>
        <v>0</v>
      </c>
      <c r="M182" s="149"/>
      <c r="N182" s="190"/>
      <c r="O182" s="151"/>
      <c r="P182" s="149"/>
      <c r="Q182" s="149" t="n">
        <f aca="false">R182+S182</f>
        <v>0</v>
      </c>
      <c r="R182" s="149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17"/>
      <c r="B183" s="18"/>
      <c r="C183" s="18"/>
      <c r="D183" s="18"/>
      <c r="E183" s="18"/>
      <c r="F183" s="26" t="s">
        <v>244</v>
      </c>
      <c r="G183" s="152" t="s">
        <v>23</v>
      </c>
      <c r="H183" s="176" t="n">
        <v>16</v>
      </c>
      <c r="I183" s="154" t="n">
        <v>12</v>
      </c>
      <c r="J183" s="154" t="n">
        <v>12</v>
      </c>
      <c r="K183" s="155" t="n">
        <v>17230</v>
      </c>
      <c r="L183" s="155" t="n">
        <v>17230</v>
      </c>
      <c r="M183" s="155" t="n">
        <v>17230</v>
      </c>
      <c r="N183" s="156"/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54"/>
      <c r="B184" s="55" t="s">
        <v>120</v>
      </c>
      <c r="C184" s="56" t="s">
        <v>20</v>
      </c>
      <c r="D184" s="56"/>
      <c r="E184" s="56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3</v>
      </c>
      <c r="P184" s="161" t="n">
        <v>3063.78</v>
      </c>
      <c r="Q184" s="161" t="n">
        <f aca="false">R184+S184</f>
        <v>3063.78</v>
      </c>
      <c r="R184" s="161" t="n">
        <v>3063.78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54"/>
      <c r="B185" s="55"/>
      <c r="C185" s="55"/>
      <c r="D185" s="55"/>
      <c r="E185" s="55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56"/>
      <c r="O185" s="168"/>
      <c r="P185" s="166"/>
      <c r="Q185" s="166" t="n">
        <f aca="false">R185+S185</f>
        <v>0</v>
      </c>
      <c r="R185" s="166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72"/>
      <c r="B186" s="18" t="s">
        <v>158</v>
      </c>
      <c r="C186" s="74"/>
      <c r="D186" s="56" t="s">
        <v>204</v>
      </c>
      <c r="E186" s="74"/>
      <c r="F186" s="53"/>
      <c r="G186" s="146" t="s">
        <v>22</v>
      </c>
      <c r="H186" s="195"/>
      <c r="I186" s="196"/>
      <c r="J186" s="196"/>
      <c r="K186" s="197"/>
      <c r="L186" s="197" t="n">
        <f aca="false">M186+N186</f>
        <v>0</v>
      </c>
      <c r="M186" s="197"/>
      <c r="N186" s="190"/>
      <c r="O186" s="199"/>
      <c r="P186" s="197"/>
      <c r="Q186" s="197" t="n">
        <f aca="false">R186+S186</f>
        <v>0</v>
      </c>
      <c r="R186" s="197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" hidden="false" customHeight="false" outlineLevel="0" collapsed="false">
      <c r="A187" s="54"/>
      <c r="B187" s="18"/>
      <c r="C187" s="56"/>
      <c r="D187" s="56"/>
      <c r="E187" s="56"/>
      <c r="F187" s="138" t="s">
        <v>205</v>
      </c>
      <c r="G187" s="152" t="s">
        <v>26</v>
      </c>
      <c r="H187" s="153" t="n">
        <v>7</v>
      </c>
      <c r="I187" s="200" t="n">
        <v>3</v>
      </c>
      <c r="J187" s="200" t="n">
        <v>3</v>
      </c>
      <c r="K187" s="201" t="n">
        <v>4739.06</v>
      </c>
      <c r="L187" s="201" t="n">
        <f aca="false">M187+N187</f>
        <v>0</v>
      </c>
      <c r="M187" s="201"/>
      <c r="N187" s="156"/>
      <c r="O187" s="203"/>
      <c r="P187" s="201"/>
      <c r="Q187" s="201" t="n">
        <f aca="false">R187+S187</f>
        <v>0</v>
      </c>
      <c r="R187" s="201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33"/>
      <c r="B188" s="34" t="s">
        <v>152</v>
      </c>
      <c r="C188" s="35" t="s">
        <v>20</v>
      </c>
      <c r="D188" s="35"/>
      <c r="E188" s="35" t="s">
        <v>25</v>
      </c>
      <c r="F188" s="36"/>
      <c r="G188" s="158" t="s">
        <v>22</v>
      </c>
      <c r="H188" s="169"/>
      <c r="I188" s="160"/>
      <c r="J188" s="160"/>
      <c r="K188" s="161"/>
      <c r="L188" s="161" t="n">
        <f aca="false">M188+N188</f>
        <v>0</v>
      </c>
      <c r="M188" s="161"/>
      <c r="N188" s="190"/>
      <c r="O188" s="163" t="n">
        <v>4</v>
      </c>
      <c r="P188" s="161" t="n">
        <v>7400.4</v>
      </c>
      <c r="Q188" s="161" t="n">
        <f aca="false">R188+S188</f>
        <v>7400.4</v>
      </c>
      <c r="R188" s="161" t="n">
        <v>7400.4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206</v>
      </c>
      <c r="G189" s="164" t="s">
        <v>26</v>
      </c>
      <c r="H189" s="171" t="n">
        <v>4</v>
      </c>
      <c r="I189" s="165"/>
      <c r="J189" s="165" t="n">
        <v>1</v>
      </c>
      <c r="K189" s="166" t="n">
        <v>704.8</v>
      </c>
      <c r="L189" s="166" t="n">
        <v>0</v>
      </c>
      <c r="M189" s="166" t="n">
        <f aca="false">4228.8</f>
        <v>4228.8</v>
      </c>
      <c r="N189" s="156"/>
      <c r="O189" s="168" t="n">
        <v>7</v>
      </c>
      <c r="P189" s="166" t="n">
        <v>12950.7</v>
      </c>
      <c r="Q189" s="161" t="n">
        <f aca="false">R189+S189</f>
        <v>12950.7</v>
      </c>
      <c r="R189" s="166" t="n">
        <f aca="false">6959.9+5990.8</f>
        <v>12950.7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122</v>
      </c>
      <c r="C190" s="19" t="s">
        <v>20</v>
      </c>
      <c r="D190" s="19"/>
      <c r="E190" s="19" t="s">
        <v>116</v>
      </c>
      <c r="F190" s="20"/>
      <c r="G190" s="146" t="s">
        <v>22</v>
      </c>
      <c r="H190" s="159" t="n">
        <v>38</v>
      </c>
      <c r="I190" s="148" t="n">
        <v>34</v>
      </c>
      <c r="J190" s="148" t="n">
        <v>48</v>
      </c>
      <c r="K190" s="149" t="n">
        <v>76981</v>
      </c>
      <c r="L190" s="149" t="n">
        <f aca="false">M190+N190</f>
        <v>76981</v>
      </c>
      <c r="M190" s="149" t="n">
        <v>73190.9</v>
      </c>
      <c r="N190" s="190" t="n">
        <v>3790.1</v>
      </c>
      <c r="O190" s="151" t="n">
        <v>34</v>
      </c>
      <c r="P190" s="149" t="n">
        <v>122132.88</v>
      </c>
      <c r="Q190" s="149" t="n">
        <f aca="false">R190+S190</f>
        <v>122132.88</v>
      </c>
      <c r="R190" s="149" t="n">
        <v>122132.88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152" t="s">
        <v>26</v>
      </c>
      <c r="H191" s="153"/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123</v>
      </c>
      <c r="C192" s="35" t="s">
        <v>20</v>
      </c>
      <c r="D192" s="35"/>
      <c r="E192" s="35" t="s">
        <v>25</v>
      </c>
      <c r="F192" s="36"/>
      <c r="G192" s="146" t="s">
        <v>22</v>
      </c>
      <c r="H192" s="159" t="n">
        <v>9</v>
      </c>
      <c r="I192" s="160" t="n">
        <v>6</v>
      </c>
      <c r="J192" s="160" t="n">
        <v>6</v>
      </c>
      <c r="K192" s="161" t="n">
        <v>5298.16</v>
      </c>
      <c r="L192" s="161" t="n">
        <f aca="false">M192+N192</f>
        <v>4193.56</v>
      </c>
      <c r="M192" s="161" t="n">
        <v>4193.56</v>
      </c>
      <c r="N192" s="190"/>
      <c r="O192" s="163" t="n">
        <v>6</v>
      </c>
      <c r="P192" s="161" t="n">
        <v>10868.41</v>
      </c>
      <c r="Q192" s="161" t="n">
        <f aca="false">R192+S192</f>
        <v>10868.41</v>
      </c>
      <c r="R192" s="161" t="n">
        <v>10868.41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207</v>
      </c>
      <c r="G193" s="164" t="s">
        <v>26</v>
      </c>
      <c r="H193" s="153" t="n">
        <v>6</v>
      </c>
      <c r="I193" s="165" t="n">
        <v>2</v>
      </c>
      <c r="J193" s="165" t="n">
        <v>2</v>
      </c>
      <c r="K193" s="166" t="n">
        <v>1472.8</v>
      </c>
      <c r="L193" s="161" t="n">
        <f aca="false">M193+N193</f>
        <v>2761.5</v>
      </c>
      <c r="M193" s="166" t="n">
        <f aca="false">2761.5</f>
        <v>2761.5</v>
      </c>
      <c r="N193" s="156"/>
      <c r="O193" s="168" t="n">
        <v>3</v>
      </c>
      <c r="P193" s="166" t="n">
        <v>881</v>
      </c>
      <c r="Q193" s="166" t="n">
        <f aca="false">R193+S193</f>
        <v>24445.8</v>
      </c>
      <c r="R193" s="166" t="n">
        <f aca="false">24445.8</f>
        <v>24445.8</v>
      </c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124</v>
      </c>
      <c r="C194" s="19" t="s">
        <v>20</v>
      </c>
      <c r="D194" s="19"/>
      <c r="E194" s="19" t="s">
        <v>88</v>
      </c>
      <c r="F194" s="20"/>
      <c r="G194" s="146" t="s">
        <v>22</v>
      </c>
      <c r="H194" s="159" t="n">
        <v>20</v>
      </c>
      <c r="I194" s="148" t="n">
        <v>14</v>
      </c>
      <c r="J194" s="148" t="n">
        <v>15</v>
      </c>
      <c r="K194" s="149" t="n">
        <v>27094.04</v>
      </c>
      <c r="L194" s="149" t="n">
        <f aca="false">M194+N194</f>
        <v>27094.04</v>
      </c>
      <c r="M194" s="149" t="n">
        <v>27094.04</v>
      </c>
      <c r="N194" s="190"/>
      <c r="O194" s="151" t="n">
        <v>13</v>
      </c>
      <c r="P194" s="149" t="n">
        <v>27526.97</v>
      </c>
      <c r="Q194" s="149" t="n">
        <f aca="false">R194+S194</f>
        <v>25417.55</v>
      </c>
      <c r="R194" s="149" t="n">
        <v>25417.55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42" t="s">
        <v>245</v>
      </c>
      <c r="G195" s="164" t="s">
        <v>23</v>
      </c>
      <c r="H195" s="172" t="n">
        <v>12</v>
      </c>
      <c r="I195" s="165" t="n">
        <v>7</v>
      </c>
      <c r="J195" s="165" t="n">
        <v>7</v>
      </c>
      <c r="K195" s="166" t="n">
        <v>5551.25</v>
      </c>
      <c r="L195" s="166" t="n">
        <v>5551.25</v>
      </c>
      <c r="M195" s="166" t="n">
        <v>5551.25</v>
      </c>
      <c r="N195" s="156"/>
      <c r="O195" s="168" t="n">
        <v>7</v>
      </c>
      <c r="P195" s="166" t="n">
        <v>10647.7</v>
      </c>
      <c r="Q195" s="166" t="n">
        <v>10647.7</v>
      </c>
      <c r="R195" s="166" t="n">
        <v>10647.7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208</v>
      </c>
      <c r="C196" s="19"/>
      <c r="D196" s="19"/>
      <c r="E196" s="127"/>
      <c r="F196" s="20"/>
      <c r="G196" s="146" t="s">
        <v>22</v>
      </c>
      <c r="H196" s="173" t="n">
        <v>44</v>
      </c>
      <c r="I196" s="148" t="n">
        <v>25</v>
      </c>
      <c r="J196" s="148" t="n">
        <v>25</v>
      </c>
      <c r="K196" s="149" t="n">
        <v>31863.12</v>
      </c>
      <c r="L196" s="149" t="n">
        <f aca="false">M196+N196</f>
        <v>30664.96</v>
      </c>
      <c r="M196" s="149" t="n">
        <v>30664.96</v>
      </c>
      <c r="N196" s="190"/>
      <c r="O196" s="151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28"/>
      <c r="F197" s="26" t="s">
        <v>246</v>
      </c>
      <c r="G197" s="152" t="s">
        <v>23</v>
      </c>
      <c r="H197" s="174" t="n">
        <v>14</v>
      </c>
      <c r="I197" s="154" t="n">
        <v>6</v>
      </c>
      <c r="J197" s="154" t="n">
        <v>6</v>
      </c>
      <c r="K197" s="155" t="n">
        <v>6375.01</v>
      </c>
      <c r="L197" s="155" t="n">
        <f aca="false">M197+N197</f>
        <v>6375.01</v>
      </c>
      <c r="M197" s="155" t="n">
        <v>6375.01</v>
      </c>
      <c r="N197" s="156"/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125</v>
      </c>
      <c r="C198" s="35" t="s">
        <v>33</v>
      </c>
      <c r="D198" s="35" t="s">
        <v>126</v>
      </c>
      <c r="E198" s="35" t="s">
        <v>127</v>
      </c>
      <c r="F198" s="36"/>
      <c r="G198" s="158" t="s">
        <v>22</v>
      </c>
      <c r="H198" s="159" t="n">
        <v>16</v>
      </c>
      <c r="I198" s="160" t="n">
        <v>11</v>
      </c>
      <c r="J198" s="160" t="n">
        <v>15</v>
      </c>
      <c r="K198" s="161" t="n">
        <v>45075.64</v>
      </c>
      <c r="L198" s="161" t="n">
        <f aca="false">M198+N198</f>
        <v>36273.83</v>
      </c>
      <c r="M198" s="161" t="n">
        <v>36273.83</v>
      </c>
      <c r="N198" s="190"/>
      <c r="O198" s="163" t="n">
        <v>14</v>
      </c>
      <c r="P198" s="161" t="n">
        <v>33154.57</v>
      </c>
      <c r="Q198" s="161" t="n">
        <f aca="false">R198+S198</f>
        <v>33154.57</v>
      </c>
      <c r="R198" s="161" t="n">
        <v>33154.57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/>
      <c r="G199" s="164" t="s">
        <v>23</v>
      </c>
      <c r="H199" s="171" t="n">
        <v>34</v>
      </c>
      <c r="I199" s="165" t="n">
        <v>14</v>
      </c>
      <c r="J199" s="165" t="n">
        <v>14</v>
      </c>
      <c r="K199" s="166" t="n">
        <v>28413.38</v>
      </c>
      <c r="L199" s="166" t="n">
        <v>28413.38</v>
      </c>
      <c r="M199" s="166" t="n">
        <v>28413.38</v>
      </c>
      <c r="N199" s="156"/>
      <c r="O199" s="168" t="n">
        <v>15</v>
      </c>
      <c r="P199" s="166" t="n">
        <v>37341.32</v>
      </c>
      <c r="Q199" s="166" t="n">
        <v>37341.32</v>
      </c>
      <c r="R199" s="166" t="n">
        <v>37341.32</v>
      </c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" hidden="false" customHeight="true" outlineLevel="0" collapsed="false">
      <c r="A200" s="17"/>
      <c r="B200" s="18" t="s">
        <v>128</v>
      </c>
      <c r="C200" s="19" t="s">
        <v>20</v>
      </c>
      <c r="D200" s="19"/>
      <c r="E200" s="19" t="s">
        <v>25</v>
      </c>
      <c r="F200" s="20"/>
      <c r="G200" s="146" t="s">
        <v>22</v>
      </c>
      <c r="H200" s="159" t="n">
        <v>26</v>
      </c>
      <c r="I200" s="148" t="n">
        <v>22</v>
      </c>
      <c r="J200" s="148" t="n">
        <v>25</v>
      </c>
      <c r="K200" s="149" t="n">
        <v>24009.25</v>
      </c>
      <c r="L200" s="149" t="n">
        <f aca="false">M200+N200</f>
        <v>23180.8</v>
      </c>
      <c r="M200" s="149" t="n">
        <v>23180.8</v>
      </c>
      <c r="N200" s="190"/>
      <c r="O200" s="151" t="n">
        <v>25</v>
      </c>
      <c r="P200" s="149" t="n">
        <v>47491.14</v>
      </c>
      <c r="Q200" s="149" t="n">
        <f aca="false">R200+S200</f>
        <v>47491.14</v>
      </c>
      <c r="R200" s="149" t="n">
        <v>47491.14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71"/>
      <c r="G201" s="164" t="s">
        <v>26</v>
      </c>
      <c r="H201" s="175"/>
      <c r="I201" s="165"/>
      <c r="J201" s="165"/>
      <c r="K201" s="166"/>
      <c r="L201" s="166" t="n">
        <f aca="false">M201+N201</f>
        <v>0</v>
      </c>
      <c r="M201" s="166"/>
      <c r="N201" s="156"/>
      <c r="O201" s="168"/>
      <c r="P201" s="166"/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227</v>
      </c>
      <c r="C202" s="19"/>
      <c r="D202" s="19"/>
      <c r="E202" s="19"/>
      <c r="F202" s="20"/>
      <c r="G202" s="204" t="s">
        <v>22</v>
      </c>
      <c r="H202" s="173" t="n">
        <v>7</v>
      </c>
      <c r="I202" s="148" t="n">
        <v>1</v>
      </c>
      <c r="J202" s="148" t="n">
        <v>1</v>
      </c>
      <c r="K202" s="149" t="n">
        <v>621.99</v>
      </c>
      <c r="L202" s="149" t="n">
        <f aca="false">M202+N202</f>
        <v>0</v>
      </c>
      <c r="M202" s="149"/>
      <c r="N202" s="190"/>
      <c r="O202" s="206"/>
      <c r="P202" s="149"/>
      <c r="Q202" s="149" t="n">
        <f aca="false">R202+S202</f>
        <v>0</v>
      </c>
      <c r="R202" s="149"/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251" t="s">
        <v>26</v>
      </c>
      <c r="H203" s="177"/>
      <c r="I203" s="165"/>
      <c r="J203" s="165"/>
      <c r="K203" s="166"/>
      <c r="L203" s="166" t="n">
        <f aca="false">M203+N203</f>
        <v>0</v>
      </c>
      <c r="M203" s="166"/>
      <c r="N203" s="167"/>
      <c r="O203" s="23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296</v>
      </c>
      <c r="C204" s="19"/>
      <c r="D204" s="19"/>
      <c r="E204" s="19" t="s">
        <v>25</v>
      </c>
      <c r="F204" s="20"/>
      <c r="G204" s="146" t="s">
        <v>22</v>
      </c>
      <c r="H204" s="173" t="n">
        <v>2</v>
      </c>
      <c r="I204" s="148"/>
      <c r="J204" s="148"/>
      <c r="K204" s="149"/>
      <c r="L204" s="149" t="n">
        <f aca="false">M204+N204</f>
        <v>0</v>
      </c>
      <c r="M204" s="149"/>
      <c r="N204" s="150"/>
      <c r="O204" s="206"/>
      <c r="P204" s="149"/>
      <c r="Q204" s="149" t="n">
        <f aca="false">R204+S204</f>
        <v>0</v>
      </c>
      <c r="R204" s="149"/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57"/>
      <c r="G205" s="152" t="s">
        <v>26</v>
      </c>
      <c r="H205" s="174"/>
      <c r="I205" s="154"/>
      <c r="J205" s="154"/>
      <c r="K205" s="155"/>
      <c r="L205" s="155" t="n">
        <f aca="false">M205+N205</f>
        <v>0</v>
      </c>
      <c r="M205" s="155"/>
      <c r="N205" s="156"/>
      <c r="O205" s="209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129</v>
      </c>
      <c r="C206" s="35" t="s">
        <v>38</v>
      </c>
      <c r="D206" s="35" t="s">
        <v>130</v>
      </c>
      <c r="E206" s="35" t="s">
        <v>25</v>
      </c>
      <c r="F206" s="36"/>
      <c r="G206" s="158" t="s">
        <v>22</v>
      </c>
      <c r="H206" s="159" t="n">
        <v>16</v>
      </c>
      <c r="I206" s="160" t="n">
        <v>12</v>
      </c>
      <c r="J206" s="160" t="n">
        <v>12</v>
      </c>
      <c r="K206" s="161" t="n">
        <v>13026.32</v>
      </c>
      <c r="L206" s="161" t="n">
        <f aca="false">M206+N206</f>
        <v>13026.32</v>
      </c>
      <c r="M206" s="161" t="n">
        <v>8519.19</v>
      </c>
      <c r="N206" s="190" t="n">
        <v>4507.13</v>
      </c>
      <c r="O206" s="163" t="n">
        <v>5</v>
      </c>
      <c r="P206" s="161" t="n">
        <v>66458.37</v>
      </c>
      <c r="Q206" s="161" t="n">
        <f aca="false">R206+S206</f>
        <v>66458.37</v>
      </c>
      <c r="R206" s="161" t="n">
        <v>66458.37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209</v>
      </c>
      <c r="G207" s="164" t="s">
        <v>26</v>
      </c>
      <c r="H207" s="153" t="n">
        <v>5</v>
      </c>
      <c r="I207" s="165" t="n">
        <v>1</v>
      </c>
      <c r="J207" s="165" t="n">
        <v>1</v>
      </c>
      <c r="K207" s="166" t="n">
        <v>1762</v>
      </c>
      <c r="L207" s="161" t="n">
        <f aca="false">M207+N207</f>
        <v>1762</v>
      </c>
      <c r="M207" s="166" t="n">
        <f aca="false">1762</f>
        <v>1762</v>
      </c>
      <c r="N207" s="156"/>
      <c r="O207" s="168" t="n">
        <v>7</v>
      </c>
      <c r="P207" s="166" t="n">
        <v>22040.1</v>
      </c>
      <c r="Q207" s="166" t="n">
        <f aca="false">R207+S207</f>
        <v>20630.6</v>
      </c>
      <c r="R207" s="166" t="n">
        <f aca="false">20630.6</f>
        <v>20630.6</v>
      </c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17"/>
      <c r="B208" s="18" t="s">
        <v>131</v>
      </c>
      <c r="C208" s="19" t="s">
        <v>38</v>
      </c>
      <c r="D208" s="19" t="s">
        <v>130</v>
      </c>
      <c r="E208" s="19" t="s">
        <v>25</v>
      </c>
      <c r="F208" s="20"/>
      <c r="G208" s="146" t="s">
        <v>22</v>
      </c>
      <c r="H208" s="159" t="n">
        <v>10</v>
      </c>
      <c r="I208" s="148" t="n">
        <v>9</v>
      </c>
      <c r="J208" s="148" t="n">
        <v>17</v>
      </c>
      <c r="K208" s="149" t="n">
        <v>55173.64</v>
      </c>
      <c r="L208" s="149" t="n">
        <f aca="false">M208+N208</f>
        <v>55173.64</v>
      </c>
      <c r="M208" s="149" t="n">
        <v>55173.64</v>
      </c>
      <c r="N208" s="190"/>
      <c r="O208" s="151" t="n">
        <v>17</v>
      </c>
      <c r="P208" s="149" t="n">
        <v>163313.47</v>
      </c>
      <c r="Q208" s="149" t="n">
        <f aca="false">R208+S208</f>
        <v>155776.9</v>
      </c>
      <c r="R208" s="149" t="n">
        <v>155776.9</v>
      </c>
      <c r="S208" s="198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17"/>
      <c r="B209" s="18"/>
      <c r="C209" s="18"/>
      <c r="D209" s="18"/>
      <c r="E209" s="18"/>
      <c r="F209" s="26" t="s">
        <v>210</v>
      </c>
      <c r="G209" s="152" t="s">
        <v>26</v>
      </c>
      <c r="H209" s="153" t="n">
        <v>5</v>
      </c>
      <c r="I209" s="154" t="n">
        <v>4</v>
      </c>
      <c r="J209" s="154" t="n">
        <v>4</v>
      </c>
      <c r="K209" s="155" t="n">
        <v>3034.9</v>
      </c>
      <c r="L209" s="155" t="n">
        <f aca="false">M209+N209</f>
        <v>3034.9</v>
      </c>
      <c r="M209" s="155" t="n">
        <f aca="false">1585.8+528.6+920.5</f>
        <v>3034.9</v>
      </c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33"/>
      <c r="B210" s="34" t="s">
        <v>132</v>
      </c>
      <c r="C210" s="35" t="s">
        <v>20</v>
      </c>
      <c r="D210" s="35"/>
      <c r="E210" s="35" t="s">
        <v>69</v>
      </c>
      <c r="F210" s="38"/>
      <c r="G210" s="146" t="s">
        <v>22</v>
      </c>
      <c r="H210" s="159" t="n">
        <v>16</v>
      </c>
      <c r="I210" s="160" t="n">
        <v>13</v>
      </c>
      <c r="J210" s="160" t="n">
        <v>22</v>
      </c>
      <c r="K210" s="161" t="n">
        <v>48207.91</v>
      </c>
      <c r="L210" s="161" t="n">
        <f aca="false">M210+N210</f>
        <v>41900.39</v>
      </c>
      <c r="M210" s="161" t="n">
        <v>41900.39</v>
      </c>
      <c r="N210" s="190"/>
      <c r="O210" s="163" t="n">
        <v>15</v>
      </c>
      <c r="P210" s="161" t="n">
        <v>65486.6</v>
      </c>
      <c r="Q210" s="161" t="n">
        <f aca="false">R210+S210</f>
        <v>65486.6</v>
      </c>
      <c r="R210" s="161" t="n">
        <v>65486.6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33"/>
      <c r="B211" s="34"/>
      <c r="C211" s="34"/>
      <c r="D211" s="34"/>
      <c r="E211" s="34"/>
      <c r="F211" s="42" t="s">
        <v>211</v>
      </c>
      <c r="G211" s="164" t="s">
        <v>26</v>
      </c>
      <c r="H211" s="153" t="n">
        <v>11</v>
      </c>
      <c r="I211" s="165" t="n">
        <v>4</v>
      </c>
      <c r="J211" s="165" t="n">
        <v>4</v>
      </c>
      <c r="K211" s="166" t="n">
        <v>12298.76</v>
      </c>
      <c r="L211" s="166" t="n">
        <f aca="false">M211+N211</f>
        <v>6079.83</v>
      </c>
      <c r="M211" s="166" t="n">
        <f aca="false">6079.83</f>
        <v>6079.83</v>
      </c>
      <c r="N211" s="156"/>
      <c r="O211" s="168" t="n">
        <v>1</v>
      </c>
      <c r="P211" s="166" t="n">
        <v>3700.2</v>
      </c>
      <c r="Q211" s="166" t="n">
        <f aca="false">R211+S211</f>
        <v>3171.6</v>
      </c>
      <c r="R211" s="166" t="n">
        <f aca="false">3171.6</f>
        <v>3171.6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72"/>
      <c r="B212" s="73" t="s">
        <v>133</v>
      </c>
      <c r="C212" s="74" t="s">
        <v>20</v>
      </c>
      <c r="D212" s="74"/>
      <c r="E212" s="74" t="s">
        <v>25</v>
      </c>
      <c r="F212" s="22"/>
      <c r="G212" s="146" t="s">
        <v>22</v>
      </c>
      <c r="H212" s="159" t="n">
        <v>4</v>
      </c>
      <c r="I212" s="148" t="n">
        <v>4</v>
      </c>
      <c r="J212" s="148" t="n">
        <v>5</v>
      </c>
      <c r="K212" s="149" t="n">
        <v>7984.73</v>
      </c>
      <c r="L212" s="149" t="n">
        <f aca="false">M212+N212</f>
        <v>7984.73</v>
      </c>
      <c r="M212" s="149" t="n">
        <v>7984.73</v>
      </c>
      <c r="N212" s="190"/>
      <c r="O212" s="151" t="n">
        <v>2</v>
      </c>
      <c r="P212" s="149" t="n">
        <v>4329.79</v>
      </c>
      <c r="Q212" s="149" t="n">
        <f aca="false">R212+S212</f>
        <v>4329.79</v>
      </c>
      <c r="R212" s="149" t="n">
        <v>4329.79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72"/>
      <c r="B213" s="73"/>
      <c r="C213" s="73"/>
      <c r="D213" s="73"/>
      <c r="E213" s="73"/>
      <c r="F213" s="42" t="s">
        <v>212</v>
      </c>
      <c r="G213" s="164" t="s">
        <v>26</v>
      </c>
      <c r="H213" s="171" t="n">
        <v>4</v>
      </c>
      <c r="I213" s="165" t="n">
        <v>1</v>
      </c>
      <c r="J213" s="165" t="n">
        <v>1</v>
      </c>
      <c r="K213" s="166" t="n">
        <v>1409.6</v>
      </c>
      <c r="L213" s="166" t="n">
        <f aca="false">M213+N213</f>
        <v>1409.6</v>
      </c>
      <c r="M213" s="166" t="n">
        <f aca="false">1409.6</f>
        <v>1409.6</v>
      </c>
      <c r="N213" s="156"/>
      <c r="O213" s="168" t="n">
        <v>2</v>
      </c>
      <c r="P213" s="166" t="n">
        <v>2907.3</v>
      </c>
      <c r="Q213" s="166" t="n">
        <f aca="false">R213+S213</f>
        <v>2907.3</v>
      </c>
      <c r="R213" s="166" t="n">
        <f aca="false">1321.5+1585.8</f>
        <v>2907.3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134</v>
      </c>
      <c r="C214" s="74" t="s">
        <v>20</v>
      </c>
      <c r="D214" s="74"/>
      <c r="E214" s="74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</v>
      </c>
      <c r="P214" s="149" t="n">
        <v>13019.26</v>
      </c>
      <c r="Q214" s="149" t="n">
        <f aca="false">R214+S214</f>
        <v>13019.26</v>
      </c>
      <c r="R214" s="149" t="n">
        <v>13019.26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72"/>
      <c r="B215" s="73"/>
      <c r="C215" s="73"/>
      <c r="D215" s="73"/>
      <c r="E215" s="73"/>
      <c r="F215" s="42" t="s">
        <v>213</v>
      </c>
      <c r="G215" s="164" t="s">
        <v>26</v>
      </c>
      <c r="H215" s="153" t="n">
        <v>6</v>
      </c>
      <c r="I215" s="165" t="n">
        <v>1</v>
      </c>
      <c r="J215" s="165" t="n">
        <v>1</v>
      </c>
      <c r="K215" s="166" t="n">
        <v>552.3</v>
      </c>
      <c r="L215" s="166" t="n">
        <f aca="false">M215+N215</f>
        <v>0</v>
      </c>
      <c r="M215" s="166"/>
      <c r="N215" s="156"/>
      <c r="O215" s="168" t="n">
        <v>8</v>
      </c>
      <c r="P215" s="166" t="n">
        <v>34681.92</v>
      </c>
      <c r="Q215" s="166" t="n">
        <f aca="false">R215+S215</f>
        <v>34681.92</v>
      </c>
      <c r="R215" s="166" t="n">
        <f aca="false">34681.92</f>
        <v>34681.92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135</v>
      </c>
      <c r="C216" s="19" t="s">
        <v>20</v>
      </c>
      <c r="D216" s="19"/>
      <c r="E216" s="19" t="s">
        <v>69</v>
      </c>
      <c r="F216" s="22"/>
      <c r="G216" s="146" t="s">
        <v>22</v>
      </c>
      <c r="H216" s="159" t="n">
        <v>17</v>
      </c>
      <c r="I216" s="148" t="n">
        <v>7</v>
      </c>
      <c r="J216" s="148" t="n">
        <v>8</v>
      </c>
      <c r="K216" s="149" t="n">
        <v>17185.96</v>
      </c>
      <c r="L216" s="149" t="n">
        <f aca="false">M216+N216</f>
        <v>17185.96</v>
      </c>
      <c r="M216" s="149" t="n">
        <v>11754.09</v>
      </c>
      <c r="N216" s="190" t="n">
        <v>5431.87</v>
      </c>
      <c r="O216" s="151" t="n">
        <v>13</v>
      </c>
      <c r="P216" s="149" t="n">
        <v>42132.95</v>
      </c>
      <c r="Q216" s="149" t="n">
        <f aca="false">R216+S216</f>
        <v>42132.95</v>
      </c>
      <c r="R216" s="149" t="n">
        <v>42132.95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277</v>
      </c>
      <c r="G217" s="152" t="s">
        <v>26</v>
      </c>
      <c r="H217" s="171" t="n">
        <v>9</v>
      </c>
      <c r="I217" s="154"/>
      <c r="J217" s="154" t="n">
        <v>2</v>
      </c>
      <c r="K217" s="155" t="n">
        <v>3347.8</v>
      </c>
      <c r="L217" s="155" t="n">
        <f aca="false">M217+N217</f>
        <v>3347.8</v>
      </c>
      <c r="M217" s="155" t="n">
        <f aca="false">3347.8</f>
        <v>3347.8</v>
      </c>
      <c r="N217" s="156"/>
      <c r="O217" s="157" t="n">
        <v>2</v>
      </c>
      <c r="P217" s="155" t="n">
        <v>2292.9</v>
      </c>
      <c r="Q217" s="155" t="n">
        <f aca="false">R217+S217</f>
        <v>792.9</v>
      </c>
      <c r="R217" s="155" t="n">
        <f aca="false">792.9</f>
        <v>792.9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33"/>
      <c r="B218" s="34" t="s">
        <v>136</v>
      </c>
      <c r="C218" s="35" t="s">
        <v>20</v>
      </c>
      <c r="D218" s="35"/>
      <c r="E218" s="35" t="s">
        <v>98</v>
      </c>
      <c r="F218" s="36"/>
      <c r="G218" s="146" t="s">
        <v>22</v>
      </c>
      <c r="H218" s="159" t="n">
        <v>24</v>
      </c>
      <c r="I218" s="160" t="n">
        <v>16</v>
      </c>
      <c r="J218" s="160" t="n">
        <v>23</v>
      </c>
      <c r="K218" s="161" t="n">
        <v>45170.14</v>
      </c>
      <c r="L218" s="161" t="n">
        <f aca="false">M218+N218</f>
        <v>27069.8</v>
      </c>
      <c r="M218" s="161" t="n">
        <v>27069.8</v>
      </c>
      <c r="N218" s="190"/>
      <c r="O218" s="163" t="n">
        <v>11</v>
      </c>
      <c r="P218" s="161" t="n">
        <v>27613.45</v>
      </c>
      <c r="Q218" s="161" t="n">
        <f aca="false">R218+S218</f>
        <v>14877.54</v>
      </c>
      <c r="R218" s="161" t="n">
        <v>14877.54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247</v>
      </c>
      <c r="G219" s="164" t="s">
        <v>23</v>
      </c>
      <c r="H219" s="171" t="n">
        <v>8</v>
      </c>
      <c r="I219" s="165" t="n">
        <v>3</v>
      </c>
      <c r="J219" s="165" t="n">
        <v>3</v>
      </c>
      <c r="K219" s="166" t="n">
        <v>4052.6</v>
      </c>
      <c r="L219" s="166" t="n">
        <f aca="false">M219+N219</f>
        <v>4052.6</v>
      </c>
      <c r="M219" s="166" t="n">
        <v>4052.6</v>
      </c>
      <c r="N219" s="156"/>
      <c r="O219" s="168" t="n">
        <v>5</v>
      </c>
      <c r="P219" s="166" t="n">
        <v>14800.8</v>
      </c>
      <c r="Q219" s="166" t="n">
        <v>14800.8</v>
      </c>
      <c r="R219" s="166" t="n">
        <v>14800.8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137</v>
      </c>
      <c r="C220" s="19" t="s">
        <v>20</v>
      </c>
      <c r="D220" s="19"/>
      <c r="E220" s="19" t="s">
        <v>25</v>
      </c>
      <c r="F220" s="20"/>
      <c r="G220" s="146" t="s">
        <v>22</v>
      </c>
      <c r="H220" s="169"/>
      <c r="I220" s="148"/>
      <c r="J220" s="148"/>
      <c r="K220" s="149"/>
      <c r="L220" s="149" t="n">
        <f aca="false">M220+N220</f>
        <v>0</v>
      </c>
      <c r="M220" s="149"/>
      <c r="N220" s="190"/>
      <c r="O220" s="151" t="n">
        <v>14</v>
      </c>
      <c r="P220" s="149" t="n">
        <v>46258.85</v>
      </c>
      <c r="Q220" s="149" t="n">
        <f aca="false">R220+S220</f>
        <v>46258.85</v>
      </c>
      <c r="R220" s="149" t="n">
        <v>46258.85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20.25" hidden="false" customHeight="true" outlineLevel="0" collapsed="false">
      <c r="A221" s="17"/>
      <c r="B221" s="18"/>
      <c r="C221" s="18"/>
      <c r="D221" s="18"/>
      <c r="E221" s="18"/>
      <c r="F221" s="26" t="s">
        <v>286</v>
      </c>
      <c r="G221" s="152" t="s">
        <v>26</v>
      </c>
      <c r="H221" s="153" t="n">
        <v>11</v>
      </c>
      <c r="I221" s="154" t="n">
        <v>7</v>
      </c>
      <c r="J221" s="154" t="n">
        <v>7</v>
      </c>
      <c r="K221" s="155" t="n">
        <v>7443.85</v>
      </c>
      <c r="L221" s="155" t="n">
        <f aca="false">M221+N221</f>
        <v>3240.16</v>
      </c>
      <c r="M221" s="155" t="n">
        <f aca="false">3240.16</f>
        <v>3240.16</v>
      </c>
      <c r="N221" s="156"/>
      <c r="O221" s="157" t="n">
        <v>7</v>
      </c>
      <c r="P221" s="155"/>
      <c r="Q221" s="155" t="n">
        <f aca="false">R221+S221</f>
        <v>6995.8</v>
      </c>
      <c r="R221" s="155" t="n">
        <f aca="false">6995.8</f>
        <v>6995.8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138</v>
      </c>
      <c r="C222" s="56" t="s">
        <v>33</v>
      </c>
      <c r="D222" s="56" t="s">
        <v>139</v>
      </c>
      <c r="E222" s="56" t="s">
        <v>25</v>
      </c>
      <c r="F222" s="36"/>
      <c r="G222" s="146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/>
      <c r="P222" s="161"/>
      <c r="Q222" s="161" t="n">
        <f aca="false">R222+S222</f>
        <v>0</v>
      </c>
      <c r="R222" s="161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26" t="s">
        <v>214</v>
      </c>
      <c r="G223" s="152" t="s">
        <v>26</v>
      </c>
      <c r="H223" s="171" t="n">
        <v>7</v>
      </c>
      <c r="I223" s="154" t="n">
        <v>2</v>
      </c>
      <c r="J223" s="154" t="n">
        <v>2</v>
      </c>
      <c r="K223" s="155" t="n">
        <v>4158.32</v>
      </c>
      <c r="L223" s="155" t="n">
        <f aca="false">M223+N223</f>
        <v>4158.32</v>
      </c>
      <c r="M223" s="155" t="n">
        <f aca="false">2466.8+1691.52</f>
        <v>4158.32</v>
      </c>
      <c r="N223" s="156"/>
      <c r="O223" s="157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140</v>
      </c>
      <c r="C224" s="35" t="s">
        <v>20</v>
      </c>
      <c r="D224" s="35"/>
      <c r="E224" s="35" t="s">
        <v>141</v>
      </c>
      <c r="F224" s="36"/>
      <c r="G224" s="146" t="s">
        <v>22</v>
      </c>
      <c r="H224" s="159" t="n">
        <v>19</v>
      </c>
      <c r="I224" s="160" t="n">
        <v>15</v>
      </c>
      <c r="J224" s="160" t="n">
        <v>22</v>
      </c>
      <c r="K224" s="161" t="n">
        <v>34695.58</v>
      </c>
      <c r="L224" s="161" t="n">
        <f aca="false">M224+N224</f>
        <v>31020.02</v>
      </c>
      <c r="M224" s="161" t="n">
        <v>31020.02</v>
      </c>
      <c r="N224" s="190"/>
      <c r="O224" s="163" t="n">
        <v>12</v>
      </c>
      <c r="P224" s="161" t="n">
        <v>72912.46</v>
      </c>
      <c r="Q224" s="161" t="n">
        <f aca="false">R224+S224</f>
        <v>72912.46</v>
      </c>
      <c r="R224" s="161" t="n">
        <v>72912.46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215</v>
      </c>
      <c r="G225" s="164" t="s">
        <v>26</v>
      </c>
      <c r="H225" s="175" t="n">
        <v>2</v>
      </c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251</v>
      </c>
      <c r="C226" s="19" t="s">
        <v>20</v>
      </c>
      <c r="D226" s="19"/>
      <c r="E226" s="19" t="s">
        <v>116</v>
      </c>
      <c r="F226" s="20"/>
      <c r="G226" s="146" t="s">
        <v>22</v>
      </c>
      <c r="H226" s="173" t="n">
        <v>6</v>
      </c>
      <c r="I226" s="148" t="n">
        <v>5</v>
      </c>
      <c r="J226" s="148" t="n">
        <v>5</v>
      </c>
      <c r="K226" s="149" t="n">
        <v>6613.73</v>
      </c>
      <c r="L226" s="166" t="n">
        <f aca="false">M226+N226</f>
        <v>3851.92</v>
      </c>
      <c r="M226" s="149" t="n">
        <v>3851.92</v>
      </c>
      <c r="N226" s="190"/>
      <c r="O226" s="206"/>
      <c r="P226" s="149"/>
      <c r="Q226" s="149"/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252</v>
      </c>
      <c r="G227" s="152" t="s">
        <v>26</v>
      </c>
      <c r="H227" s="174" t="n">
        <v>8</v>
      </c>
      <c r="I227" s="154"/>
      <c r="J227" s="154"/>
      <c r="K227" s="155"/>
      <c r="L227" s="166" t="n">
        <f aca="false">M227+N227</f>
        <v>0</v>
      </c>
      <c r="M227" s="155"/>
      <c r="N227" s="156"/>
      <c r="O227" s="209"/>
      <c r="P227" s="155"/>
      <c r="Q227" s="155"/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142</v>
      </c>
      <c r="C228" s="56" t="s">
        <v>20</v>
      </c>
      <c r="D228" s="56"/>
      <c r="E228" s="56" t="s">
        <v>25</v>
      </c>
      <c r="F228" s="36"/>
      <c r="G228" s="158" t="s">
        <v>22</v>
      </c>
      <c r="H228" s="173" t="n">
        <v>6</v>
      </c>
      <c r="I228" s="148" t="n">
        <v>5</v>
      </c>
      <c r="J228" s="148" t="n">
        <v>5</v>
      </c>
      <c r="K228" s="149" t="n">
        <v>3970.58</v>
      </c>
      <c r="L228" s="149" t="n">
        <f aca="false">M228+N228</f>
        <v>3970.58</v>
      </c>
      <c r="M228" s="149" t="n">
        <v>3970.58</v>
      </c>
      <c r="N228" s="190"/>
      <c r="O228" s="228" t="n">
        <v>6</v>
      </c>
      <c r="P228" s="161" t="n">
        <v>10969.43</v>
      </c>
      <c r="Q228" s="161" t="n">
        <f aca="false">R228+S228</f>
        <v>10969.43</v>
      </c>
      <c r="R228" s="161" t="n">
        <v>10969.43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42" t="s">
        <v>216</v>
      </c>
      <c r="G229" s="164" t="s">
        <v>26</v>
      </c>
      <c r="H229" s="177" t="n">
        <v>9</v>
      </c>
      <c r="I229" s="165" t="n">
        <v>4</v>
      </c>
      <c r="J229" s="165" t="n">
        <v>4</v>
      </c>
      <c r="K229" s="166" t="n">
        <v>8384.1</v>
      </c>
      <c r="L229" s="166" t="n">
        <f aca="false">M229+N229</f>
        <v>5990.8</v>
      </c>
      <c r="M229" s="166" t="n">
        <f aca="false">5167.21+823.59</f>
        <v>5990.8</v>
      </c>
      <c r="N229" s="167"/>
      <c r="O229" s="238" t="n">
        <v>13</v>
      </c>
      <c r="P229" s="166" t="n">
        <v>8633.8</v>
      </c>
      <c r="Q229" s="166" t="n">
        <f aca="false">R229+S229</f>
        <v>14903.5</v>
      </c>
      <c r="R229" s="166" t="n">
        <f aca="false">14903.5</f>
        <v>14903.5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287</v>
      </c>
      <c r="C230" s="56" t="s">
        <v>20</v>
      </c>
      <c r="D230" s="19"/>
      <c r="E230" s="56" t="s">
        <v>25</v>
      </c>
      <c r="F230" s="20"/>
      <c r="G230" s="146" t="s">
        <v>22</v>
      </c>
      <c r="H230" s="147"/>
      <c r="I230" s="148"/>
      <c r="J230" s="148"/>
      <c r="K230" s="149"/>
      <c r="L230" s="149" t="n">
        <f aca="false">M230+N230</f>
        <v>0</v>
      </c>
      <c r="M230" s="149"/>
      <c r="N230" s="150"/>
      <c r="O230" s="206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288</v>
      </c>
      <c r="G231" s="152" t="s">
        <v>26</v>
      </c>
      <c r="H231" s="176" t="n">
        <v>5</v>
      </c>
      <c r="I231" s="154" t="n">
        <v>4</v>
      </c>
      <c r="J231" s="154" t="n">
        <v>4</v>
      </c>
      <c r="K231" s="155" t="n">
        <v>3876.4</v>
      </c>
      <c r="L231" s="155" t="n">
        <f aca="false">M231+N231</f>
        <v>3171.6</v>
      </c>
      <c r="M231" s="155" t="n">
        <f aca="false">3171.6</f>
        <v>3171.6</v>
      </c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33"/>
      <c r="B232" s="34" t="s">
        <v>143</v>
      </c>
      <c r="C232" s="35" t="s">
        <v>20</v>
      </c>
      <c r="D232" s="35"/>
      <c r="E232" s="35" t="s">
        <v>25</v>
      </c>
      <c r="F232" s="36"/>
      <c r="G232" s="158" t="s">
        <v>22</v>
      </c>
      <c r="H232" s="169" t="n">
        <v>1</v>
      </c>
      <c r="I232" s="160"/>
      <c r="J232" s="160"/>
      <c r="K232" s="161"/>
      <c r="L232" s="161" t="n">
        <f aca="false">M232+N232</f>
        <v>0</v>
      </c>
      <c r="M232" s="161"/>
      <c r="N232" s="190"/>
      <c r="O232" s="163" t="n">
        <v>1</v>
      </c>
      <c r="P232" s="161" t="n">
        <v>1515.67</v>
      </c>
      <c r="Q232" s="161" t="n">
        <f aca="false">R232+S232</f>
        <v>1515.67</v>
      </c>
      <c r="R232" s="161" t="n">
        <v>1515.67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42" t="s">
        <v>217</v>
      </c>
      <c r="G233" s="164" t="s">
        <v>26</v>
      </c>
      <c r="H233" s="171" t="n">
        <v>8</v>
      </c>
      <c r="I233" s="165" t="n">
        <v>4</v>
      </c>
      <c r="J233" s="165" t="n">
        <v>4</v>
      </c>
      <c r="K233" s="166" t="n">
        <v>9664.55</v>
      </c>
      <c r="L233" s="166" t="n">
        <f aca="false">M233+N233</f>
        <v>12211.05</v>
      </c>
      <c r="M233" s="166" t="n">
        <f aca="false">11506.25+704.8</f>
        <v>12211.05</v>
      </c>
      <c r="N233" s="156"/>
      <c r="O233" s="168" t="n">
        <v>9</v>
      </c>
      <c r="P233" s="166" t="n">
        <v>34775.2</v>
      </c>
      <c r="Q233" s="166" t="n">
        <f aca="false">R233+S233</f>
        <v>35942.4</v>
      </c>
      <c r="R233" s="166" t="n">
        <f aca="false">31892.2+4050.2</f>
        <v>35942.4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144</v>
      </c>
      <c r="C234" s="19" t="s">
        <v>20</v>
      </c>
      <c r="D234" s="19"/>
      <c r="E234" s="19" t="s">
        <v>81</v>
      </c>
      <c r="F234" s="20"/>
      <c r="G234" s="146" t="s">
        <v>22</v>
      </c>
      <c r="H234" s="159" t="n">
        <v>14</v>
      </c>
      <c r="I234" s="148" t="n">
        <v>10</v>
      </c>
      <c r="J234" s="148" t="n">
        <v>11</v>
      </c>
      <c r="K234" s="149" t="n">
        <v>9896.72</v>
      </c>
      <c r="L234" s="149" t="n">
        <f aca="false">M234+N234</f>
        <v>7588.94</v>
      </c>
      <c r="M234" s="149" t="n">
        <v>7588.94</v>
      </c>
      <c r="N234" s="190"/>
      <c r="O234" s="151" t="n">
        <v>6</v>
      </c>
      <c r="P234" s="149" t="n">
        <v>23448.49</v>
      </c>
      <c r="Q234" s="149" t="n">
        <f aca="false">R234+S234</f>
        <v>16284.3</v>
      </c>
      <c r="R234" s="149" t="n">
        <v>16284.3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218</v>
      </c>
      <c r="G235" s="152" t="s">
        <v>26</v>
      </c>
      <c r="H235" s="171" t="n">
        <v>7</v>
      </c>
      <c r="I235" s="154" t="n">
        <v>5</v>
      </c>
      <c r="J235" s="154" t="n">
        <v>5</v>
      </c>
      <c r="K235" s="155" t="n">
        <v>7366.4</v>
      </c>
      <c r="L235" s="155" t="n">
        <f aca="false">M235+N235</f>
        <v>8056.78</v>
      </c>
      <c r="M235" s="155" t="n">
        <f aca="false">7044.23</f>
        <v>7044.23</v>
      </c>
      <c r="N235" s="156" t="n">
        <f aca="false">1012.55</f>
        <v>1012.55</v>
      </c>
      <c r="O235" s="157" t="n">
        <v>2</v>
      </c>
      <c r="P235" s="155" t="n">
        <v>4493.1</v>
      </c>
      <c r="Q235" s="155" t="n">
        <f aca="false">R235+S235</f>
        <v>4493.1</v>
      </c>
      <c r="R235" s="155" t="n">
        <f aca="false">4493.1</f>
        <v>4493.1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33"/>
      <c r="B236" s="34" t="s">
        <v>145</v>
      </c>
      <c r="C236" s="35" t="s">
        <v>20</v>
      </c>
      <c r="D236" s="35"/>
      <c r="E236" s="35" t="s">
        <v>98</v>
      </c>
      <c r="F236" s="36"/>
      <c r="G236" s="146" t="s">
        <v>22</v>
      </c>
      <c r="H236" s="169"/>
      <c r="I236" s="160"/>
      <c r="J236" s="160"/>
      <c r="K236" s="161"/>
      <c r="L236" s="161" t="n">
        <f aca="false">M236+N236</f>
        <v>0</v>
      </c>
      <c r="M236" s="161"/>
      <c r="N236" s="190"/>
      <c r="O236" s="163"/>
      <c r="P236" s="161"/>
      <c r="Q236" s="161" t="n">
        <f aca="false">R236+S236</f>
        <v>0</v>
      </c>
      <c r="R236" s="161"/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34"/>
      <c r="C237" s="34"/>
      <c r="D237" s="34"/>
      <c r="E237" s="34"/>
      <c r="F237" s="71"/>
      <c r="G237" s="164" t="s">
        <v>23</v>
      </c>
      <c r="H237" s="175"/>
      <c r="I237" s="165"/>
      <c r="J237" s="165"/>
      <c r="K237" s="166"/>
      <c r="L237" s="166" t="n">
        <f aca="false">M237+N237</f>
        <v>0</v>
      </c>
      <c r="M237" s="166"/>
      <c r="N237" s="156"/>
      <c r="O237" s="168"/>
      <c r="P237" s="166"/>
      <c r="Q237" s="166" t="n">
        <f aca="false">R237+S237</f>
        <v>0</v>
      </c>
      <c r="R237" s="166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146</v>
      </c>
      <c r="C238" s="19" t="s">
        <v>20</v>
      </c>
      <c r="D238" s="19"/>
      <c r="E238" s="19" t="s">
        <v>25</v>
      </c>
      <c r="F238" s="22"/>
      <c r="G238" s="146" t="s">
        <v>22</v>
      </c>
      <c r="H238" s="173" t="n">
        <v>12</v>
      </c>
      <c r="I238" s="148" t="n">
        <v>9</v>
      </c>
      <c r="J238" s="148" t="n">
        <v>11</v>
      </c>
      <c r="K238" s="149" t="n">
        <v>13677.7</v>
      </c>
      <c r="L238" s="149" t="n">
        <f aca="false">M238+N238</f>
        <v>13677.7</v>
      </c>
      <c r="M238" s="149" t="n">
        <v>13677.7</v>
      </c>
      <c r="N238" s="190"/>
      <c r="O238" s="206" t="n">
        <v>2</v>
      </c>
      <c r="P238" s="149" t="n">
        <v>15606.38</v>
      </c>
      <c r="Q238" s="149" t="n">
        <f aca="false">R238+S238</f>
        <v>15606.38</v>
      </c>
      <c r="R238" s="149" t="n">
        <v>15606.38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42" t="s">
        <v>219</v>
      </c>
      <c r="G239" s="164" t="s">
        <v>26</v>
      </c>
      <c r="H239" s="178" t="n">
        <v>6</v>
      </c>
      <c r="I239" s="165" t="n">
        <v>2</v>
      </c>
      <c r="J239" s="165" t="n">
        <v>2</v>
      </c>
      <c r="K239" s="166" t="n">
        <v>3150.65</v>
      </c>
      <c r="L239" s="166" t="n">
        <f aca="false">M239+N239</f>
        <v>3150.65</v>
      </c>
      <c r="M239" s="166" t="n">
        <f aca="false">3150.65</f>
        <v>3150.65</v>
      </c>
      <c r="N239" s="167"/>
      <c r="O239" s="238" t="n">
        <v>1</v>
      </c>
      <c r="P239" s="166" t="n">
        <v>1585.8</v>
      </c>
      <c r="Q239" s="166" t="n">
        <f aca="false">R239+S239</f>
        <v>1585.8</v>
      </c>
      <c r="R239" s="166" t="n">
        <v>1585.8</v>
      </c>
      <c r="S239" s="167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17"/>
      <c r="B240" s="18" t="s">
        <v>289</v>
      </c>
      <c r="C240" s="19"/>
      <c r="D240" s="19"/>
      <c r="E240" s="19"/>
      <c r="F240" s="20"/>
      <c r="G240" s="146" t="s">
        <v>22</v>
      </c>
      <c r="H240" s="173" t="n">
        <v>5</v>
      </c>
      <c r="I240" s="148" t="n">
        <v>4</v>
      </c>
      <c r="J240" s="148" t="n">
        <v>7</v>
      </c>
      <c r="K240" s="149" t="n">
        <v>7648.67</v>
      </c>
      <c r="L240" s="149" t="n">
        <f aca="false">M240+N240</f>
        <v>7648.67</v>
      </c>
      <c r="M240" s="149" t="n">
        <v>2643</v>
      </c>
      <c r="N240" s="224" t="n">
        <v>5005.67</v>
      </c>
      <c r="O240" s="151"/>
      <c r="P240" s="149"/>
      <c r="Q240" s="149" t="n">
        <f aca="false">R240+S240</f>
        <v>0</v>
      </c>
      <c r="R240" s="149"/>
      <c r="S240" s="15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57"/>
      <c r="G241" s="152" t="s">
        <v>23</v>
      </c>
      <c r="H241" s="174" t="n">
        <v>2</v>
      </c>
      <c r="I241" s="154" t="n">
        <v>1</v>
      </c>
      <c r="J241" s="154" t="n">
        <v>1</v>
      </c>
      <c r="K241" s="155" t="n">
        <v>2325.84</v>
      </c>
      <c r="L241" s="155" t="n">
        <v>2325.84</v>
      </c>
      <c r="M241" s="155" t="n">
        <v>2325.84</v>
      </c>
      <c r="N241" s="226"/>
      <c r="O241" s="157"/>
      <c r="P241" s="155"/>
      <c r="Q241" s="155" t="n">
        <f aca="false">R241+S241</f>
        <v>0</v>
      </c>
      <c r="R241" s="155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54"/>
      <c r="B242" s="55" t="s">
        <v>147</v>
      </c>
      <c r="C242" s="56" t="s">
        <v>20</v>
      </c>
      <c r="D242" s="56"/>
      <c r="E242" s="56" t="s">
        <v>25</v>
      </c>
      <c r="F242" s="97"/>
      <c r="G242" s="158" t="s">
        <v>22</v>
      </c>
      <c r="H242" s="159" t="n">
        <v>4</v>
      </c>
      <c r="I242" s="160" t="n">
        <v>3</v>
      </c>
      <c r="J242" s="160" t="n">
        <v>3</v>
      </c>
      <c r="K242" s="161" t="n">
        <v>2093.26</v>
      </c>
      <c r="L242" s="161" t="n">
        <f aca="false">M242+N242</f>
        <v>2093.26</v>
      </c>
      <c r="M242" s="161" t="n">
        <v>2093.26</v>
      </c>
      <c r="N242" s="190"/>
      <c r="O242" s="163" t="n">
        <v>5</v>
      </c>
      <c r="P242" s="161" t="n">
        <v>18277.74</v>
      </c>
      <c r="Q242" s="161" t="n">
        <f aca="false">R242+S242</f>
        <v>18277.74</v>
      </c>
      <c r="R242" s="161" t="n">
        <v>18277.74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54"/>
      <c r="B243" s="55"/>
      <c r="C243" s="55"/>
      <c r="D243" s="55"/>
      <c r="E243" s="55"/>
      <c r="F243" s="42" t="s">
        <v>220</v>
      </c>
      <c r="G243" s="164" t="s">
        <v>26</v>
      </c>
      <c r="H243" s="172" t="n">
        <v>12</v>
      </c>
      <c r="I243" s="165" t="n">
        <v>3</v>
      </c>
      <c r="J243" s="165" t="n">
        <v>4</v>
      </c>
      <c r="K243" s="166" t="n">
        <v>10451.1</v>
      </c>
      <c r="L243" s="189" t="n">
        <f aca="false">M243+N243</f>
        <v>4228.8</v>
      </c>
      <c r="M243" s="166" t="n">
        <f aca="false">528.6+3700.2</f>
        <v>4228.8</v>
      </c>
      <c r="N243" s="167"/>
      <c r="O243" s="168" t="n">
        <v>5</v>
      </c>
      <c r="P243" s="166" t="n">
        <v>18677.2</v>
      </c>
      <c r="Q243" s="189" t="n">
        <f aca="false">R243+S243</f>
        <v>18677.2</v>
      </c>
      <c r="R243" s="166" t="n">
        <f aca="false">7048+528.6+5638.4+5462.2</f>
        <v>18677.2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17"/>
      <c r="B244" s="18" t="s">
        <v>297</v>
      </c>
      <c r="C244" s="19"/>
      <c r="D244" s="19"/>
      <c r="E244" s="19" t="s">
        <v>25</v>
      </c>
      <c r="F244" s="22"/>
      <c r="G244" s="146" t="s">
        <v>22</v>
      </c>
      <c r="H244" s="173" t="n">
        <v>4</v>
      </c>
      <c r="I244" s="148"/>
      <c r="J244" s="148"/>
      <c r="K244" s="149"/>
      <c r="L244" s="149" t="n">
        <f aca="false">M244+N244</f>
        <v>0</v>
      </c>
      <c r="M244" s="149"/>
      <c r="N244" s="150"/>
      <c r="O244" s="206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17"/>
      <c r="B245" s="18"/>
      <c r="C245" s="18"/>
      <c r="D245" s="18"/>
      <c r="E245" s="18"/>
      <c r="F245" s="26"/>
      <c r="G245" s="152" t="s">
        <v>26</v>
      </c>
      <c r="H245" s="174"/>
      <c r="I245" s="154"/>
      <c r="J245" s="154"/>
      <c r="K245" s="155"/>
      <c r="L245" s="155" t="n">
        <f aca="false">M245+N245</f>
        <v>0</v>
      </c>
      <c r="M245" s="155"/>
      <c r="N245" s="156"/>
      <c r="O245" s="209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54"/>
      <c r="B246" s="55" t="s">
        <v>148</v>
      </c>
      <c r="C246" s="56" t="s">
        <v>20</v>
      </c>
      <c r="D246" s="56"/>
      <c r="E246" s="56" t="s">
        <v>21</v>
      </c>
      <c r="F246" s="38"/>
      <c r="G246" s="158" t="s">
        <v>22</v>
      </c>
      <c r="H246" s="159" t="n">
        <v>3</v>
      </c>
      <c r="I246" s="160" t="n">
        <v>1</v>
      </c>
      <c r="J246" s="160" t="n">
        <v>1</v>
      </c>
      <c r="K246" s="161" t="n">
        <v>436.1</v>
      </c>
      <c r="L246" s="161" t="n">
        <f aca="false">M246+N246</f>
        <v>436.1</v>
      </c>
      <c r="M246" s="161" t="n">
        <v>436.1</v>
      </c>
      <c r="N246" s="190"/>
      <c r="O246" s="163" t="n">
        <v>1</v>
      </c>
      <c r="P246" s="161" t="n">
        <v>13232.99</v>
      </c>
      <c r="Q246" s="161" t="n">
        <f aca="false">R246+S246</f>
        <v>13232.99</v>
      </c>
      <c r="R246" s="161" t="n">
        <v>13232.99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55"/>
      <c r="C247" s="55"/>
      <c r="D247" s="55"/>
      <c r="E247" s="55"/>
      <c r="F247" s="26" t="s">
        <v>248</v>
      </c>
      <c r="G247" s="152" t="s">
        <v>23</v>
      </c>
      <c r="H247" s="171" t="n">
        <v>2</v>
      </c>
      <c r="I247" s="154"/>
      <c r="J247" s="154"/>
      <c r="K247" s="155"/>
      <c r="L247" s="155" t="n">
        <f aca="false">M247+N247</f>
        <v>0</v>
      </c>
      <c r="M247" s="155"/>
      <c r="N247" s="156"/>
      <c r="O247" s="157" t="n">
        <v>1</v>
      </c>
      <c r="P247" s="155" t="n">
        <v>572.65</v>
      </c>
      <c r="Q247" s="155" t="n">
        <v>572.65</v>
      </c>
      <c r="R247" s="155" t="n">
        <v>572.65</v>
      </c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.75" hidden="false" customHeight="true" outlineLevel="0" collapsed="false">
      <c r="A248" s="99"/>
      <c r="B248" s="100" t="s">
        <v>149</v>
      </c>
      <c r="C248" s="100"/>
      <c r="D248" s="100"/>
      <c r="E248" s="100"/>
      <c r="F248" s="100"/>
      <c r="G248" s="212"/>
      <c r="H248" s="213" t="n">
        <f aca="false">SUM(H9:H247)</f>
        <v>2072</v>
      </c>
      <c r="I248" s="214" t="n">
        <f aca="false">SUM(I9:I247)</f>
        <v>1274</v>
      </c>
      <c r="J248" s="214" t="n">
        <f aca="false">SUM(J9:J247)</f>
        <v>1501</v>
      </c>
      <c r="K248" s="215" t="n">
        <f aca="false">SUM(K9:K247)</f>
        <v>2550619.78</v>
      </c>
      <c r="L248" s="215" t="n">
        <f aca="false">SUM(L9:L247)</f>
        <v>2250778.61</v>
      </c>
      <c r="M248" s="215" t="n">
        <f aca="false">SUM(M9:M247)</f>
        <v>2154645.11</v>
      </c>
      <c r="N248" s="243" t="n">
        <f aca="false">SUM(N9:N247)</f>
        <v>96128</v>
      </c>
      <c r="O248" s="244" t="n">
        <f aca="false">SUM(O9:O247)</f>
        <v>1101</v>
      </c>
      <c r="P248" s="245" t="n">
        <f aca="false">SUM(P9:P247)</f>
        <v>3990864.75</v>
      </c>
      <c r="Q248" s="245" t="n">
        <f aca="false">SUM(Q9:Q247)</f>
        <v>3813699.11</v>
      </c>
      <c r="R248" s="245" t="n">
        <f aca="false">SUM(R9:R247)</f>
        <v>3808023.9</v>
      </c>
      <c r="S248" s="246" t="n">
        <f aca="false">SUM(S9:S247)</f>
        <v>13407.41</v>
      </c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 t="s">
        <v>290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true" outlineLevel="0" collapsed="false">
      <c r="A252" s="2"/>
      <c r="B252" s="2"/>
      <c r="C252" s="2"/>
      <c r="D252" s="2"/>
      <c r="E252" s="2"/>
      <c r="F252" s="103"/>
      <c r="G252" s="104" t="s">
        <v>5</v>
      </c>
      <c r="H252" s="104"/>
      <c r="I252" s="104"/>
      <c r="J252" s="104"/>
      <c r="K252" s="104"/>
      <c r="L252" s="104"/>
      <c r="M252" s="104"/>
      <c r="N252" s="104" t="s">
        <v>6</v>
      </c>
      <c r="O252" s="104"/>
      <c r="P252" s="104"/>
      <c r="Q252" s="104"/>
      <c r="R252" s="104"/>
      <c r="S252" s="105" t="s">
        <v>150</v>
      </c>
      <c r="T252" s="105" t="s">
        <v>253</v>
      </c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103"/>
      <c r="G253" s="106" t="s">
        <v>13</v>
      </c>
      <c r="H253" s="106" t="s">
        <v>14</v>
      </c>
      <c r="I253" s="106" t="s">
        <v>15</v>
      </c>
      <c r="J253" s="106" t="s">
        <v>226</v>
      </c>
      <c r="K253" s="106" t="s">
        <v>16</v>
      </c>
      <c r="L253" s="106" t="s">
        <v>17</v>
      </c>
      <c r="M253" s="106" t="s">
        <v>18</v>
      </c>
      <c r="N253" s="106" t="s">
        <v>15</v>
      </c>
      <c r="O253" s="106" t="s">
        <v>226</v>
      </c>
      <c r="P253" s="106" t="s">
        <v>16</v>
      </c>
      <c r="Q253" s="106" t="s">
        <v>17</v>
      </c>
      <c r="R253" s="106" t="s">
        <v>18</v>
      </c>
      <c r="S253" s="105"/>
      <c r="T253" s="105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107" t="s">
        <v>22</v>
      </c>
      <c r="G254" s="108" t="n">
        <f aca="false">SUMIF($G$9:$G$247,$F$254,H9:H247)</f>
        <v>1383</v>
      </c>
      <c r="H254" s="108" t="n">
        <f aca="false">SUMIF($G$9:$G$247,$F$254,I9:I247)</f>
        <v>966</v>
      </c>
      <c r="I254" s="108" t="n">
        <f aca="false">SUMIF($G$9:$G$247,$F$254,J9:J247)</f>
        <v>1189</v>
      </c>
      <c r="J254" s="110" t="n">
        <f aca="false">SUMIF($G$9:$G$247,F254,$K$9:$K$247)</f>
        <v>2028671.84</v>
      </c>
      <c r="K254" s="110" t="n">
        <f aca="false">SUMIF($G$9:$G$247,$F$254,L9:L247)</f>
        <v>1830040.31</v>
      </c>
      <c r="L254" s="110" t="n">
        <f aca="false">SUMIF($G$9:$G$247,$F$254,M9:M247)</f>
        <v>1734924.86</v>
      </c>
      <c r="M254" s="110" t="n">
        <f aca="false">SUMIF($G$9:$G$247,$F$254,N9:N247)</f>
        <v>95115.45</v>
      </c>
      <c r="N254" s="108" t="n">
        <f aca="false">SUMIF($G$9:$G$247,$F$254,O9:O247)</f>
        <v>742</v>
      </c>
      <c r="O254" s="110" t="n">
        <f aca="false">SUMIF($G$9:$G$247,F254,$P$9:$P$247)</f>
        <v>3076966.1</v>
      </c>
      <c r="P254" s="110" t="n">
        <f aca="false">SUMIF($G$9:$G$247,$F$254,Q9:Q247)</f>
        <v>2863747.28</v>
      </c>
      <c r="Q254" s="110" t="n">
        <f aca="false">SUMIF($G$9:$G$247,$F$254,R9:R247)</f>
        <v>2855268.04</v>
      </c>
      <c r="R254" s="110" t="n">
        <f aca="false">SUMIF($G$9:$G$247,$F$254,S9:S247)</f>
        <v>8479.24</v>
      </c>
      <c r="S254" s="110" t="n">
        <f aca="false">Q254+L254</f>
        <v>4590192.9</v>
      </c>
      <c r="T254" s="111" t="n">
        <f aca="false">J254-L254+O254-Q254</f>
        <v>515445.040000001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7" t="s">
        <v>26</v>
      </c>
      <c r="G255" s="108" t="n">
        <f aca="false">SUMIF($G$9:$G$247,$F$255,H9:H247)</f>
        <v>447</v>
      </c>
      <c r="H255" s="108" t="n">
        <f aca="false">SUMIF($G$9:$G$247,$F$255,I9:I247)</f>
        <v>178</v>
      </c>
      <c r="I255" s="108" t="n">
        <f aca="false">SUMIF($G$9:$G$247,$F$255,J9:J247)</f>
        <v>182</v>
      </c>
      <c r="J255" s="110" t="n">
        <f aca="false">SUMIF($G$9:$G$247,F255,$K$9:$K$247)</f>
        <v>361901.54</v>
      </c>
      <c r="K255" s="110" t="n">
        <f aca="false">SUMIF($G$9:$G$247,$F$255,L9:L247)</f>
        <v>264569.8</v>
      </c>
      <c r="L255" s="110" t="n">
        <f aca="false">SUMIF($G$9:$G$247,$F$255,M9:M247)</f>
        <v>263551.75</v>
      </c>
      <c r="M255" s="110" t="n">
        <f aca="false">SUMIF($G$9:$G$247,$F$255,N9:N247)</f>
        <v>1012.55</v>
      </c>
      <c r="N255" s="108" t="n">
        <f aca="false">SUMIF($G$9:$G$247,$F$255,O9:O247)</f>
        <v>262</v>
      </c>
      <c r="O255" s="110" t="n">
        <f aca="false">SUMIF($G$9:$G$247,F255,$P$9:$P$247)</f>
        <v>712041.36</v>
      </c>
      <c r="P255" s="110" t="n">
        <f aca="false">SUMIF($G$9:$G$247,$F$255,Q9:Q247)</f>
        <v>748094.54</v>
      </c>
      <c r="Q255" s="110" t="n">
        <f aca="false">SUMIF($G$9:$G$247,$F$255,R9:R247)</f>
        <v>750898.57</v>
      </c>
      <c r="R255" s="110" t="n">
        <f aca="false">SUMIF($G$9:$G$247,$F$255,S9:S247)</f>
        <v>4928.17</v>
      </c>
      <c r="S255" s="110" t="n">
        <f aca="false">Q255+L255</f>
        <v>1014450.32</v>
      </c>
      <c r="T255" s="111" t="n">
        <f aca="false">J255-L255+O255-Q255</f>
        <v>59492.5799999996</v>
      </c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23</v>
      </c>
      <c r="G256" s="108" t="n">
        <f aca="false">SUMIF($G$9:$G$247,$F$256,H9:H247)</f>
        <v>242</v>
      </c>
      <c r="H256" s="108" t="n">
        <f aca="false">SUMIF($G$9:$G$247,$F$256,I9:I247)</f>
        <v>130</v>
      </c>
      <c r="I256" s="108" t="n">
        <f aca="false">SUMIF($G$9:$G$247,$F$256,J9:J247)</f>
        <v>130</v>
      </c>
      <c r="J256" s="110" t="n">
        <f aca="false">SUMIF($G$9:$G$247,F256,$K$9:$K$247)</f>
        <v>160046.4</v>
      </c>
      <c r="K256" s="110" t="n">
        <f aca="false">SUMIF($G$9:$G$247,$F$256,L9:L247)</f>
        <v>156168.5</v>
      </c>
      <c r="L256" s="110" t="n">
        <f aca="false">SUMIF($G$9:$G$247,$F$256,M9:M247)</f>
        <v>156168.5</v>
      </c>
      <c r="M256" s="110" t="n">
        <f aca="false">SUMIF($G$9:$G$247,$F$256,N9:N247)</f>
        <v>0</v>
      </c>
      <c r="N256" s="108" t="n">
        <f aca="false">SUMIF($G$9:$G$247,$F$256,O9:O247)</f>
        <v>97</v>
      </c>
      <c r="O256" s="110" t="n">
        <f aca="false">SUMIF($G$9:$G$247,F256,$P$9:$P$247)</f>
        <v>201857.29</v>
      </c>
      <c r="P256" s="110" t="n">
        <f aca="false">SUMIF($G$9:$G$247,$F$256,Q9:Q247)</f>
        <v>201857.29</v>
      </c>
      <c r="Q256" s="110" t="n">
        <f aca="false">SUMIF($G$9:$G$247,$F$256,R9:R247)</f>
        <v>201857.29</v>
      </c>
      <c r="R256" s="110" t="n">
        <f aca="false">SUMIF($G$9:$G$247,$F$256,S9:S247)</f>
        <v>0</v>
      </c>
      <c r="S256" s="110" t="n">
        <f aca="false">Q256+L256</f>
        <v>358025.79</v>
      </c>
      <c r="T256" s="111" t="n">
        <f aca="false">J256-L256+O256-Q256</f>
        <v>3877.90000000002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16" t="n">
        <f aca="false">G256+G255+G254</f>
        <v>2072</v>
      </c>
      <c r="H257" s="216" t="n">
        <f aca="false">H256+H255+H254</f>
        <v>1274</v>
      </c>
      <c r="I257" s="216" t="n">
        <f aca="false">I256+I255+I254</f>
        <v>1501</v>
      </c>
      <c r="J257" s="217" t="n">
        <f aca="false">J256+J255+J254</f>
        <v>2550619.78</v>
      </c>
      <c r="K257" s="217" t="n">
        <f aca="false">K256+K255+K254</f>
        <v>2250778.61</v>
      </c>
      <c r="L257" s="217" t="n">
        <f aca="false">L256+L255+L254</f>
        <v>2154645.11</v>
      </c>
      <c r="M257" s="217" t="n">
        <f aca="false">M256+M255+M254</f>
        <v>96128</v>
      </c>
      <c r="N257" s="216" t="n">
        <f aca="false">N256+N255+N254</f>
        <v>1101</v>
      </c>
      <c r="O257" s="217" t="n">
        <f aca="false">O256+O255+O254</f>
        <v>3990864.75</v>
      </c>
      <c r="P257" s="217" t="n">
        <f aca="false">P256+P255+P254</f>
        <v>3813699.11</v>
      </c>
      <c r="Q257" s="217" t="n">
        <f aca="false">Q256+Q255+Q254</f>
        <v>3808023.9</v>
      </c>
      <c r="R257" s="217" t="n">
        <f aca="false">R256+R255+R254</f>
        <v>13407.41</v>
      </c>
      <c r="S257" s="217" t="n">
        <f aca="false">S256+S255+S254</f>
        <v>5962669.01</v>
      </c>
      <c r="T257" s="217" t="n">
        <f aca="false">T256+T255+T254</f>
        <v>578815.520000001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F318" s="0" t="s">
        <v>22</v>
      </c>
      <c r="G318" s="0" t="n">
        <v>1383</v>
      </c>
      <c r="H318" s="247" t="n">
        <v>966</v>
      </c>
      <c r="I318" s="247" t="n">
        <v>1189</v>
      </c>
      <c r="J318" s="0" t="n">
        <v>2028671.84</v>
      </c>
      <c r="K318" s="236"/>
      <c r="N318" s="0" t="n">
        <v>742</v>
      </c>
      <c r="O318" s="0" t="n">
        <v>3076966.1</v>
      </c>
    </row>
    <row r="319" customFormat="false" ht="15" hidden="false" customHeight="false" outlineLevel="0" collapsed="false">
      <c r="G319" s="221" t="n">
        <f aca="false">G254-G318</f>
        <v>0</v>
      </c>
      <c r="H319" s="221" t="n">
        <f aca="false">H254-H318</f>
        <v>0</v>
      </c>
      <c r="I319" s="221" t="n">
        <f aca="false">I254-I318</f>
        <v>0</v>
      </c>
      <c r="J319" s="229" t="n">
        <f aca="false">J254-J318</f>
        <v>0</v>
      </c>
      <c r="K319" s="236"/>
      <c r="N319" s="221" t="n">
        <f aca="false">N254-N318</f>
        <v>0</v>
      </c>
      <c r="O319" s="229" t="n">
        <f aca="false">O254-O318</f>
        <v>0</v>
      </c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</sheetData>
  <mergeCells count="59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9"/>
    <mergeCell ref="B177:B179"/>
    <mergeCell ref="C177:C179"/>
    <mergeCell ref="D177:D179"/>
    <mergeCell ref="E177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B186:B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F252:F253"/>
    <mergeCell ref="G252:M252"/>
    <mergeCell ref="N252:R252"/>
    <mergeCell ref="S252:S253"/>
    <mergeCell ref="T252:T25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69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27</v>
      </c>
      <c r="I11" s="160" t="n">
        <v>18</v>
      </c>
      <c r="J11" s="160" t="n">
        <v>32</v>
      </c>
      <c r="K11" s="161" t="n">
        <v>71801.93</v>
      </c>
      <c r="L11" s="161" t="n">
        <f aca="false">M11+N11</f>
        <v>58793.86</v>
      </c>
      <c r="M11" s="161" t="n">
        <v>58793.86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5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27</v>
      </c>
      <c r="I13" s="148" t="n">
        <v>23</v>
      </c>
      <c r="J13" s="148" t="n">
        <v>34</v>
      </c>
      <c r="K13" s="149" t="n">
        <v>47749.23</v>
      </c>
      <c r="L13" s="149" t="n">
        <f aca="false">M13+N13</f>
        <v>47749.23</v>
      </c>
      <c r="M13" s="149" t="n">
        <v>47749.23</v>
      </c>
      <c r="N13" s="249"/>
      <c r="O13" s="228" t="n">
        <v>6</v>
      </c>
      <c r="P13" s="161" t="n">
        <v>14938.98</v>
      </c>
      <c r="Q13" s="161" t="n">
        <f aca="false">R13+S13</f>
        <v>14938.98</v>
      </c>
      <c r="R13" s="161" t="n">
        <v>14938.98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2</v>
      </c>
      <c r="P15" s="149" t="n">
        <v>9801.6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8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14</v>
      </c>
      <c r="J21" s="160" t="n">
        <v>16</v>
      </c>
      <c r="K21" s="161" t="n">
        <v>21199.65</v>
      </c>
      <c r="L21" s="161" t="n">
        <f aca="false">M21+N21</f>
        <v>21199.65</v>
      </c>
      <c r="M21" s="161" t="n">
        <v>14830.79</v>
      </c>
      <c r="N21" s="190" t="n">
        <v>6368.86</v>
      </c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/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24</v>
      </c>
      <c r="J23" s="160" t="n">
        <v>39</v>
      </c>
      <c r="K23" s="161" t="n">
        <v>56118.65</v>
      </c>
      <c r="L23" s="161" t="n">
        <f aca="false">M23+N23</f>
        <v>50485.39</v>
      </c>
      <c r="M23" s="161" t="n">
        <v>36599.36</v>
      </c>
      <c r="N23" s="190" t="n">
        <v>13886.03</v>
      </c>
      <c r="O23" s="151" t="n">
        <v>24</v>
      </c>
      <c r="P23" s="149" t="n">
        <v>51971.06</v>
      </c>
      <c r="Q23" s="149" t="n">
        <f aca="false">R23+S23</f>
        <v>51971.06</v>
      </c>
      <c r="R23" s="149" t="n">
        <v>47120.13</v>
      </c>
      <c r="S23" s="198" t="n">
        <v>4850.93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s">
        <v>299</v>
      </c>
      <c r="L24" s="166" t="n">
        <f aca="false">M24+N24</f>
        <v>0</v>
      </c>
      <c r="M24" s="166"/>
      <c r="N24" s="156"/>
      <c r="O24" s="157" t="n">
        <v>5</v>
      </c>
      <c r="P24" s="155" t="s">
        <v>300</v>
      </c>
      <c r="Q24" s="155" t="n">
        <v>1850.1</v>
      </c>
      <c r="R24" s="155" t="n">
        <v>1850.1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25</v>
      </c>
      <c r="I25" s="148" t="n">
        <v>19</v>
      </c>
      <c r="J25" s="148" t="n">
        <v>19</v>
      </c>
      <c r="K25" s="148" t="n">
        <v>7775.37</v>
      </c>
      <c r="L25" s="149" t="n">
        <f aca="false">M25+N25</f>
        <v>7775.28</v>
      </c>
      <c r="M25" s="149" t="n">
        <v>6570.82</v>
      </c>
      <c r="N25" s="190" t="n">
        <v>1204.46</v>
      </c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25</v>
      </c>
      <c r="J27" s="160" t="n">
        <v>38</v>
      </c>
      <c r="K27" s="161" t="n">
        <v>70357.67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11</v>
      </c>
      <c r="I34" s="165" t="n">
        <v>2</v>
      </c>
      <c r="J34" s="165" t="n">
        <v>2</v>
      </c>
      <c r="K34" s="166" t="n">
        <v>3347.8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11</v>
      </c>
      <c r="I38" s="154" t="n">
        <v>7</v>
      </c>
      <c r="J38" s="154" t="n">
        <v>7</v>
      </c>
      <c r="K38" s="155" t="n">
        <v>11590.05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17</v>
      </c>
      <c r="I43" s="160" t="n">
        <v>16</v>
      </c>
      <c r="J43" s="160" t="n">
        <v>20</v>
      </c>
      <c r="K43" s="161" t="n">
        <v>44346.07</v>
      </c>
      <c r="L43" s="161" t="n">
        <f aca="false">M43+N43</f>
        <v>36053.18</v>
      </c>
      <c r="M43" s="161" t="n">
        <v>36053.18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/>
      <c r="P45" s="149"/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1</v>
      </c>
      <c r="J46" s="165" t="n">
        <v>1</v>
      </c>
      <c r="K46" s="166" t="n">
        <v>1057.2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6</v>
      </c>
      <c r="P46" s="166" t="n">
        <v>15452.4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11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6</v>
      </c>
      <c r="P48" s="155" t="n">
        <v>13567.4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55</v>
      </c>
      <c r="I53" s="148" t="n">
        <v>50</v>
      </c>
      <c r="J53" s="148" t="n">
        <v>51</v>
      </c>
      <c r="K53" s="149" t="n">
        <v>64741.74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27</v>
      </c>
      <c r="I55" s="160" t="n">
        <v>23</v>
      </c>
      <c r="J55" s="160" t="n">
        <v>32</v>
      </c>
      <c r="K55" s="161" t="n">
        <v>59571.37</v>
      </c>
      <c r="L55" s="161" t="n">
        <f aca="false">M55+N55</f>
        <v>47432.28</v>
      </c>
      <c r="M55" s="161" t="n">
        <v>28323.14</v>
      </c>
      <c r="N55" s="190" t="n">
        <v>19109.14</v>
      </c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6</v>
      </c>
      <c r="I57" s="160" t="n">
        <v>3</v>
      </c>
      <c r="J57" s="160" t="n">
        <v>3</v>
      </c>
      <c r="K57" s="161" t="n">
        <v>4345.8</v>
      </c>
      <c r="L57" s="161" t="n">
        <f aca="false">M57+N57</f>
        <v>2654.28</v>
      </c>
      <c r="M57" s="161" t="n">
        <v>2654.28</v>
      </c>
      <c r="N57" s="190"/>
      <c r="O57" s="163" t="n">
        <v>3</v>
      </c>
      <c r="P57" s="161" t="n">
        <v>18745.92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25697.29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2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6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5</v>
      </c>
      <c r="I63" s="148" t="n">
        <v>2</v>
      </c>
      <c r="J63" s="148" t="n">
        <v>2</v>
      </c>
      <c r="K63" s="149" t="n">
        <v>881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7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18</v>
      </c>
      <c r="K65" s="161" t="n">
        <v>36724.29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9</v>
      </c>
      <c r="I68" s="154" t="n">
        <v>5</v>
      </c>
      <c r="J68" s="154" t="n">
        <v>5</v>
      </c>
      <c r="K68" s="155" t="n">
        <v>3403.1</v>
      </c>
      <c r="L68" s="155" t="n">
        <f aca="false">M68+N68</f>
        <v>3403.1</v>
      </c>
      <c r="M68" s="155" t="n">
        <v>3403.1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13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21739.72</v>
      </c>
      <c r="M69" s="161" t="n">
        <v>21739.72</v>
      </c>
      <c r="N69" s="190"/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23</v>
      </c>
      <c r="I71" s="148" t="n">
        <v>12</v>
      </c>
      <c r="J71" s="148" t="n">
        <v>13</v>
      </c>
      <c r="K71" s="149" t="n">
        <v>29641.45</v>
      </c>
      <c r="L71" s="149" t="n">
        <f aca="false">M71+N71</f>
        <v>29641.45</v>
      </c>
      <c r="M71" s="149" t="n">
        <v>29641.45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28</v>
      </c>
      <c r="I73" s="160" t="n">
        <v>23</v>
      </c>
      <c r="J73" s="160" t="n">
        <v>28</v>
      </c>
      <c r="K73" s="161" t="n">
        <v>60979.51</v>
      </c>
      <c r="L73" s="161" t="n">
        <f aca="false">M73+N73</f>
        <v>53972.66</v>
      </c>
      <c r="M73" s="161" t="n">
        <v>48676.65</v>
      </c>
      <c r="N73" s="190" t="n">
        <v>5296.01</v>
      </c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14</v>
      </c>
      <c r="I81" s="148" t="n">
        <v>7</v>
      </c>
      <c r="J81" s="148" t="n">
        <v>7</v>
      </c>
      <c r="K81" s="149" t="n">
        <v>30516.45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25</v>
      </c>
      <c r="I82" s="154" t="n">
        <v>13</v>
      </c>
      <c r="J82" s="154" t="n">
        <v>13</v>
      </c>
      <c r="K82" s="155" t="n">
        <v>17952.72</v>
      </c>
      <c r="L82" s="155" t="n">
        <v>15179.42</v>
      </c>
      <c r="M82" s="155" t="n">
        <v>15179.42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5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1</v>
      </c>
      <c r="J86" s="165" t="n">
        <v>1</v>
      </c>
      <c r="K86" s="166" t="n">
        <v>1841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/>
      <c r="N87" s="190" t="n">
        <v>1212.02</v>
      </c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10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12</v>
      </c>
      <c r="P89" s="149" t="n">
        <v>49906.05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31</v>
      </c>
      <c r="J90" s="165" t="n">
        <v>31</v>
      </c>
      <c r="K90" s="166" t="n">
        <v>36351.5</v>
      </c>
      <c r="L90" s="166" t="n">
        <v>36351.5</v>
      </c>
      <c r="M90" s="166" t="n">
        <v>36351.5</v>
      </c>
      <c r="N90" s="156"/>
      <c r="O90" s="168" t="n">
        <v>35</v>
      </c>
      <c r="P90" s="166" t="n">
        <v>71364.22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7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8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10</v>
      </c>
      <c r="I93" s="148" t="n">
        <v>5</v>
      </c>
      <c r="J93" s="148" t="n">
        <v>5</v>
      </c>
      <c r="K93" s="149" t="n">
        <v>11087.86</v>
      </c>
      <c r="L93" s="149" t="n">
        <f aca="false">M93+N93</f>
        <v>11087.86</v>
      </c>
      <c r="M93" s="149" t="n">
        <v>11087.86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8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7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9</v>
      </c>
      <c r="I97" s="160" t="n">
        <v>8</v>
      </c>
      <c r="J97" s="160" t="n">
        <v>8</v>
      </c>
      <c r="K97" s="161" t="n">
        <v>13173.07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7</v>
      </c>
      <c r="I98" s="165" t="n">
        <v>3</v>
      </c>
      <c r="J98" s="165" t="n">
        <v>3</v>
      </c>
      <c r="K98" s="166" t="n">
        <v>4052.6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13222.88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6</v>
      </c>
      <c r="I99" s="148" t="n">
        <v>4</v>
      </c>
      <c r="J99" s="148" t="n">
        <v>5</v>
      </c>
      <c r="K99" s="149" t="n">
        <v>9768.84</v>
      </c>
      <c r="L99" s="149" t="n">
        <f aca="false">M99+N99</f>
        <v>7062.57</v>
      </c>
      <c r="M99" s="149" t="n">
        <v>7062.57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/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30</v>
      </c>
      <c r="K101" s="161" t="n">
        <v>61067.91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21</v>
      </c>
      <c r="I103" s="148" t="n">
        <v>15</v>
      </c>
      <c r="J103" s="148" t="n">
        <v>15</v>
      </c>
      <c r="K103" s="149" t="n">
        <v>12723.15</v>
      </c>
      <c r="L103" s="149" t="n">
        <f aca="false">M103+N103</f>
        <v>12723.15</v>
      </c>
      <c r="M103" s="149" t="n">
        <v>12723.15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10</v>
      </c>
      <c r="J105" s="148" t="n">
        <v>12</v>
      </c>
      <c r="K105" s="149" t="n">
        <v>10404.92</v>
      </c>
      <c r="L105" s="149" t="n">
        <f aca="false">M105+N105</f>
        <v>7482.33</v>
      </c>
      <c r="M105" s="149" t="n">
        <v>4148.63</v>
      </c>
      <c r="N105" s="190" t="n">
        <v>3333.7</v>
      </c>
      <c r="O105" s="151" t="n">
        <v>8</v>
      </c>
      <c r="P105" s="149" t="n">
        <v>47130.25</v>
      </c>
      <c r="Q105" s="149" t="n">
        <f aca="false">R105+S105</f>
        <v>12279.73</v>
      </c>
      <c r="R105" s="149" t="n">
        <v>8651.42</v>
      </c>
      <c r="S105" s="190" t="n">
        <v>3628.31</v>
      </c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20318.3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3</v>
      </c>
      <c r="I107" s="154" t="n">
        <v>4</v>
      </c>
      <c r="J107" s="154" t="n">
        <v>4</v>
      </c>
      <c r="K107" s="155" t="s">
        <v>301</v>
      </c>
      <c r="L107" s="155" t="n">
        <v>4933.6</v>
      </c>
      <c r="M107" s="155" t="n">
        <v>4933.6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9</v>
      </c>
      <c r="I108" s="160" t="n">
        <v>5</v>
      </c>
      <c r="J108" s="160" t="n">
        <v>6</v>
      </c>
      <c r="K108" s="161" t="n">
        <v>11123.42</v>
      </c>
      <c r="L108" s="161" t="n">
        <f aca="false">M108+N108</f>
        <v>11123.42</v>
      </c>
      <c r="M108" s="161" t="n">
        <v>11123.42</v>
      </c>
      <c r="N108" s="190"/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/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30</v>
      </c>
      <c r="I112" s="148" t="n">
        <v>25</v>
      </c>
      <c r="J112" s="148" t="n">
        <v>32</v>
      </c>
      <c r="K112" s="149" t="n">
        <v>44176.55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25421.86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4</v>
      </c>
      <c r="J113" s="165" t="n">
        <v>4</v>
      </c>
      <c r="K113" s="166" t="n">
        <v>11398.05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6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30</v>
      </c>
      <c r="I118" s="160" t="n">
        <v>19</v>
      </c>
      <c r="J118" s="160" t="n">
        <v>28</v>
      </c>
      <c r="K118" s="161" t="n">
        <v>51943.96</v>
      </c>
      <c r="L118" s="161" t="n">
        <f aca="false">M118+N118</f>
        <v>46541.91</v>
      </c>
      <c r="M118" s="161" t="n">
        <v>46541.91</v>
      </c>
      <c r="N118" s="190"/>
      <c r="O118" s="163" t="n">
        <v>26</v>
      </c>
      <c r="P118" s="161" t="n">
        <v>50558.54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7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34</v>
      </c>
      <c r="I122" s="148" t="n">
        <v>21</v>
      </c>
      <c r="J122" s="148" t="n">
        <v>26</v>
      </c>
      <c r="K122" s="149" t="n">
        <v>32791.64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25</v>
      </c>
      <c r="I123" s="165" t="n">
        <v>13</v>
      </c>
      <c r="J123" s="165" t="n">
        <v>13</v>
      </c>
      <c r="K123" s="166" t="s">
        <v>302</v>
      </c>
      <c r="L123" s="166" t="n">
        <v>11387.4</v>
      </c>
      <c r="M123" s="166" t="n">
        <v>11387.4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26</v>
      </c>
      <c r="I124" s="148" t="n">
        <v>18</v>
      </c>
      <c r="J124" s="148" t="n">
        <v>24</v>
      </c>
      <c r="K124" s="149" t="n">
        <v>96984.25</v>
      </c>
      <c r="L124" s="149" t="n">
        <f aca="false">M124+N124</f>
        <v>51882.6</v>
      </c>
      <c r="M124" s="149" t="n">
        <v>51882.6</v>
      </c>
      <c r="N124" s="190"/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34</v>
      </c>
      <c r="I126" s="160" t="n">
        <v>13</v>
      </c>
      <c r="J126" s="160" t="n">
        <v>14</v>
      </c>
      <c r="K126" s="161" t="n">
        <v>48790.43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47439.78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4891.75</v>
      </c>
      <c r="N131" s="190" t="n">
        <v>2499.28</v>
      </c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20</v>
      </c>
      <c r="I136" s="165" t="n">
        <v>14</v>
      </c>
      <c r="J136" s="165" t="n">
        <v>14</v>
      </c>
      <c r="K136" s="166" t="n">
        <v>13017.85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33</v>
      </c>
      <c r="I137" s="148" t="n">
        <v>24</v>
      </c>
      <c r="J137" s="148" t="n">
        <v>31</v>
      </c>
      <c r="K137" s="149" t="n">
        <v>87163.27</v>
      </c>
      <c r="L137" s="149" t="n">
        <f aca="false">M137+N137</f>
        <v>78739.66</v>
      </c>
      <c r="M137" s="149" t="n">
        <v>55268.48</v>
      </c>
      <c r="N137" s="190" t="n">
        <v>23471.18</v>
      </c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14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11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27</v>
      </c>
      <c r="I142" s="160" t="n">
        <v>20</v>
      </c>
      <c r="J142" s="160" t="n">
        <v>20</v>
      </c>
      <c r="K142" s="161" t="n">
        <v>7606.2</v>
      </c>
      <c r="L142" s="161" t="n">
        <f aca="false">M142+N142</f>
        <v>7606.2</v>
      </c>
      <c r="M142" s="161" t="n">
        <v>7606.2</v>
      </c>
      <c r="N142" s="190"/>
      <c r="O142" s="163" t="n">
        <v>24</v>
      </c>
      <c r="P142" s="161" t="n">
        <v>48668.87</v>
      </c>
      <c r="Q142" s="161" t="n">
        <f aca="false">R142+S142</f>
        <v>48668.87</v>
      </c>
      <c r="R142" s="161" t="n">
        <v>48668.87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12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4</v>
      </c>
      <c r="J145" s="148" t="n">
        <v>5</v>
      </c>
      <c r="K145" s="149" t="n">
        <v>4673.26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7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21</v>
      </c>
      <c r="I147" s="160" t="n">
        <v>18</v>
      </c>
      <c r="J147" s="160" t="n">
        <v>19</v>
      </c>
      <c r="K147" s="161" t="n">
        <v>23557.5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7</v>
      </c>
      <c r="P148" s="166" t="n">
        <v>8986.2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6</v>
      </c>
      <c r="I149" s="148" t="n">
        <v>3</v>
      </c>
      <c r="J149" s="148" t="n">
        <v>4</v>
      </c>
      <c r="K149" s="149" t="n">
        <v>8939.41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3</v>
      </c>
      <c r="J150" s="165" t="n">
        <v>3</v>
      </c>
      <c r="K150" s="166" t="n">
        <v>7618.6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11860.54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 t="n">
        <v>1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30540.03</v>
      </c>
      <c r="R153" s="161" t="n">
        <v>30540.03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26" t="s">
        <v>281</v>
      </c>
      <c r="G154" s="152" t="s">
        <v>26</v>
      </c>
      <c r="H154" s="153" t="n">
        <v>3</v>
      </c>
      <c r="I154" s="154"/>
      <c r="J154" s="154"/>
      <c r="K154" s="155"/>
      <c r="L154" s="155" t="n">
        <f aca="false">M154+N154</f>
        <v>0</v>
      </c>
      <c r="M154" s="155"/>
      <c r="N154" s="156"/>
      <c r="O154" s="157"/>
      <c r="P154" s="155"/>
      <c r="Q154" s="155" t="n">
        <f aca="false">R154+S154</f>
        <v>0</v>
      </c>
      <c r="R154" s="155"/>
      <c r="S154" s="156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33"/>
      <c r="B155" s="34" t="s">
        <v>105</v>
      </c>
      <c r="C155" s="35" t="s">
        <v>33</v>
      </c>
      <c r="D155" s="35" t="s">
        <v>106</v>
      </c>
      <c r="E155" s="35" t="s">
        <v>107</v>
      </c>
      <c r="F155" s="36"/>
      <c r="G155" s="146" t="s">
        <v>22</v>
      </c>
      <c r="H155" s="169" t="n">
        <v>8</v>
      </c>
      <c r="I155" s="160" t="n">
        <v>3</v>
      </c>
      <c r="J155" s="160" t="n">
        <v>3</v>
      </c>
      <c r="K155" s="161" t="n">
        <v>2479.18</v>
      </c>
      <c r="L155" s="161" t="n">
        <f aca="false">M155+N155</f>
        <v>1617.46</v>
      </c>
      <c r="M155" s="161" t="n">
        <v>1617.46</v>
      </c>
      <c r="N155" s="190"/>
      <c r="O155" s="163" t="n">
        <v>11</v>
      </c>
      <c r="P155" s="161" t="n">
        <v>54093.04</v>
      </c>
      <c r="Q155" s="161" t="n">
        <f aca="false">R155+S155</f>
        <v>54093.04</v>
      </c>
      <c r="R155" s="161" t="n">
        <v>54093.04</v>
      </c>
      <c r="S155" s="19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 t="s">
        <v>194</v>
      </c>
      <c r="G156" s="164" t="s">
        <v>26</v>
      </c>
      <c r="H156" s="153" t="n">
        <v>2</v>
      </c>
      <c r="I156" s="165"/>
      <c r="J156" s="165"/>
      <c r="K156" s="166"/>
      <c r="L156" s="161" t="n">
        <f aca="false">M156+N156</f>
        <v>0</v>
      </c>
      <c r="M156" s="166" t="n">
        <v>0</v>
      </c>
      <c r="N156" s="156"/>
      <c r="O156" s="168" t="n">
        <v>7</v>
      </c>
      <c r="P156" s="166" t="n">
        <v>23645.16</v>
      </c>
      <c r="Q156" s="166" t="n">
        <f aca="false">R156+S156</f>
        <v>18745.5</v>
      </c>
      <c r="R156" s="166" t="n">
        <f aca="false">4801.4+881+10853.9+2209.2</f>
        <v>18745.5</v>
      </c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72"/>
      <c r="B157" s="73" t="s">
        <v>108</v>
      </c>
      <c r="C157" s="74" t="s">
        <v>33</v>
      </c>
      <c r="D157" s="74" t="s">
        <v>109</v>
      </c>
      <c r="E157" s="74" t="s">
        <v>25</v>
      </c>
      <c r="F157" s="20"/>
      <c r="G157" s="146" t="s">
        <v>22</v>
      </c>
      <c r="H157" s="159" t="n">
        <v>12</v>
      </c>
      <c r="I157" s="148" t="n">
        <v>10</v>
      </c>
      <c r="J157" s="148" t="n">
        <v>11</v>
      </c>
      <c r="K157" s="149" t="n">
        <v>21755.92</v>
      </c>
      <c r="L157" s="149" t="n">
        <f aca="false">M157+N157</f>
        <v>21755.92</v>
      </c>
      <c r="M157" s="149" t="n">
        <v>21755.92</v>
      </c>
      <c r="N157" s="190"/>
      <c r="O157" s="151" t="n">
        <v>22</v>
      </c>
      <c r="P157" s="149" t="n">
        <v>54480.8</v>
      </c>
      <c r="Q157" s="149" t="n">
        <f aca="false">R157+S157</f>
        <v>49670.54</v>
      </c>
      <c r="R157" s="149" t="n">
        <v>49670.54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72"/>
      <c r="B158" s="73"/>
      <c r="C158" s="73"/>
      <c r="D158" s="73"/>
      <c r="E158" s="73"/>
      <c r="F158" s="42" t="s">
        <v>195</v>
      </c>
      <c r="G158" s="164" t="s">
        <v>26</v>
      </c>
      <c r="H158" s="171" t="n">
        <v>9</v>
      </c>
      <c r="I158" s="165" t="n">
        <v>8</v>
      </c>
      <c r="J158" s="165" t="n">
        <v>8</v>
      </c>
      <c r="K158" s="166" t="n">
        <v>25793.28</v>
      </c>
      <c r="L158" s="166" t="n">
        <f aca="false">M158+N158</f>
        <v>18794</v>
      </c>
      <c r="M158" s="166" t="n">
        <f aca="false">16841.7+552.3+1400</f>
        <v>18794</v>
      </c>
      <c r="N158" s="156"/>
      <c r="O158" s="157" t="n">
        <v>15</v>
      </c>
      <c r="P158" s="155" t="n">
        <v>62603.86</v>
      </c>
      <c r="Q158" s="155" t="n">
        <f aca="false">R158+S158</f>
        <v>73281.66</v>
      </c>
      <c r="R158" s="155" t="n">
        <f aca="false">66838.16+5891.2+552.3</f>
        <v>73281.66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17"/>
      <c r="B159" s="18" t="s">
        <v>110</v>
      </c>
      <c r="C159" s="19" t="s">
        <v>33</v>
      </c>
      <c r="D159" s="19" t="s">
        <v>111</v>
      </c>
      <c r="E159" s="19" t="s">
        <v>25</v>
      </c>
      <c r="F159" s="20"/>
      <c r="G159" s="146" t="s">
        <v>22</v>
      </c>
      <c r="H159" s="159" t="n">
        <v>30</v>
      </c>
      <c r="I159" s="148" t="n">
        <v>21</v>
      </c>
      <c r="J159" s="193" t="n">
        <v>24</v>
      </c>
      <c r="K159" s="149" t="n">
        <v>25113.93</v>
      </c>
      <c r="L159" s="149" t="n">
        <f aca="false">M159+N159</f>
        <v>25113.93</v>
      </c>
      <c r="M159" s="149" t="n">
        <v>25113.93</v>
      </c>
      <c r="N159" s="190"/>
      <c r="O159" s="163" t="n">
        <v>19</v>
      </c>
      <c r="P159" s="161" t="n">
        <v>102702.93</v>
      </c>
      <c r="Q159" s="161" t="n">
        <f aca="false">R159+S159</f>
        <v>101109.38</v>
      </c>
      <c r="R159" s="161" t="n">
        <v>101109.38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17"/>
      <c r="B160" s="18"/>
      <c r="C160" s="18"/>
      <c r="D160" s="18"/>
      <c r="E160" s="18"/>
      <c r="F160" s="42" t="s">
        <v>196</v>
      </c>
      <c r="G160" s="164" t="s">
        <v>26</v>
      </c>
      <c r="H160" s="175" t="n">
        <v>5</v>
      </c>
      <c r="I160" s="165" t="n">
        <v>4</v>
      </c>
      <c r="J160" s="165" t="n">
        <v>3</v>
      </c>
      <c r="K160" s="166" t="n">
        <v>10296.2</v>
      </c>
      <c r="L160" s="166" t="n">
        <f aca="false">4234.3</f>
        <v>4234.3</v>
      </c>
      <c r="M160" s="166"/>
      <c r="N160" s="167"/>
      <c r="O160" s="168" t="n">
        <v>1</v>
      </c>
      <c r="P160" s="166"/>
      <c r="Q160" s="166" t="n">
        <f aca="false">R160+S160</f>
        <v>0</v>
      </c>
      <c r="R160" s="166"/>
      <c r="S160" s="167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40" t="s">
        <v>282</v>
      </c>
      <c r="C161" s="19" t="s">
        <v>33</v>
      </c>
      <c r="D161" s="19" t="s">
        <v>283</v>
      </c>
      <c r="E161" s="19" t="s">
        <v>284</v>
      </c>
      <c r="F161" s="20"/>
      <c r="G161" s="146" t="s">
        <v>22</v>
      </c>
      <c r="H161" s="173"/>
      <c r="I161" s="148"/>
      <c r="J161" s="148"/>
      <c r="K161" s="241"/>
      <c r="L161" s="241" t="n">
        <f aca="false">M161+N161</f>
        <v>0</v>
      </c>
      <c r="M161" s="241"/>
      <c r="N161" s="150"/>
      <c r="O161" s="206"/>
      <c r="P161" s="149"/>
      <c r="Q161" s="149" t="n">
        <f aca="false">R161+S161</f>
        <v>0</v>
      </c>
      <c r="R161" s="149"/>
      <c r="S161" s="15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40"/>
      <c r="C162" s="19"/>
      <c r="D162" s="19"/>
      <c r="E162" s="19"/>
      <c r="F162" s="26" t="s">
        <v>285</v>
      </c>
      <c r="G162" s="152" t="s">
        <v>23</v>
      </c>
      <c r="H162" s="174" t="n">
        <v>6</v>
      </c>
      <c r="I162" s="154" t="n">
        <v>2</v>
      </c>
      <c r="J162" s="154" t="n">
        <v>2</v>
      </c>
      <c r="K162" s="242" t="n">
        <v>1472.8</v>
      </c>
      <c r="L162" s="242" t="n">
        <f aca="false">M162+N162</f>
        <v>1472.8</v>
      </c>
      <c r="M162" s="242" t="n">
        <v>1472.8</v>
      </c>
      <c r="N162" s="156"/>
      <c r="O162" s="209"/>
      <c r="P162" s="155"/>
      <c r="Q162" s="155" t="n">
        <f aca="false">R162+S162</f>
        <v>0</v>
      </c>
      <c r="R162" s="155"/>
      <c r="S162" s="156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 t="s">
        <v>112</v>
      </c>
      <c r="C163" s="35" t="s">
        <v>20</v>
      </c>
      <c r="D163" s="35" t="s">
        <v>197</v>
      </c>
      <c r="E163" s="35" t="s">
        <v>25</v>
      </c>
      <c r="F163" s="36"/>
      <c r="G163" s="158" t="s">
        <v>22</v>
      </c>
      <c r="H163" s="159" t="n">
        <v>22</v>
      </c>
      <c r="I163" s="160" t="n">
        <v>21</v>
      </c>
      <c r="J163" s="160" t="n">
        <v>29</v>
      </c>
      <c r="K163" s="140" t="n">
        <v>74905.82</v>
      </c>
      <c r="L163" s="140" t="n">
        <f aca="false">M163+N163</f>
        <v>71945.49</v>
      </c>
      <c r="M163" s="140" t="n">
        <v>71945.49</v>
      </c>
      <c r="N163" s="190"/>
      <c r="O163" s="163" t="n">
        <v>7</v>
      </c>
      <c r="P163" s="161" t="n">
        <v>29719.69</v>
      </c>
      <c r="Q163" s="161" t="n">
        <f aca="false">R163+S163</f>
        <v>29719.69</v>
      </c>
      <c r="R163" s="161" t="n">
        <v>29719.69</v>
      </c>
      <c r="S163" s="19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33"/>
      <c r="B164" s="34"/>
      <c r="C164" s="34"/>
      <c r="D164" s="34"/>
      <c r="E164" s="34"/>
      <c r="F164" s="26" t="s">
        <v>198</v>
      </c>
      <c r="G164" s="152" t="s">
        <v>26</v>
      </c>
      <c r="H164" s="171" t="n">
        <v>5</v>
      </c>
      <c r="I164" s="165" t="n">
        <v>1</v>
      </c>
      <c r="J164" s="165" t="n">
        <v>1</v>
      </c>
      <c r="K164" s="166" t="n">
        <v>1762</v>
      </c>
      <c r="L164" s="166" t="n">
        <f aca="false">M164+N164</f>
        <v>1321.5</v>
      </c>
      <c r="M164" s="166" t="n">
        <f aca="false">1321.5</f>
        <v>1321.5</v>
      </c>
      <c r="N164" s="156"/>
      <c r="O164" s="168" t="n">
        <v>2</v>
      </c>
      <c r="P164" s="166" t="n">
        <v>27663.4</v>
      </c>
      <c r="Q164" s="166" t="n">
        <f aca="false">R164+S164</f>
        <v>27663.4</v>
      </c>
      <c r="R164" s="166" t="n">
        <f aca="false">27663.4</f>
        <v>27663.4</v>
      </c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" hidden="false" customHeight="true" outlineLevel="0" collapsed="false">
      <c r="A165" s="17"/>
      <c r="B165" s="18" t="s">
        <v>113</v>
      </c>
      <c r="C165" s="19" t="s">
        <v>20</v>
      </c>
      <c r="D165" s="19"/>
      <c r="E165" s="19" t="s">
        <v>31</v>
      </c>
      <c r="F165" s="36"/>
      <c r="G165" s="146" t="s">
        <v>22</v>
      </c>
      <c r="H165" s="159" t="n">
        <v>16</v>
      </c>
      <c r="I165" s="148" t="n">
        <v>13</v>
      </c>
      <c r="J165" s="148" t="n">
        <v>16</v>
      </c>
      <c r="K165" s="149" t="n">
        <v>32741.22</v>
      </c>
      <c r="L165" s="149" t="n">
        <f aca="false">M165+N165</f>
        <v>31283.15</v>
      </c>
      <c r="M165" s="149" t="n">
        <v>31283.15</v>
      </c>
      <c r="N165" s="190"/>
      <c r="O165" s="151" t="n">
        <v>10</v>
      </c>
      <c r="P165" s="149" t="n">
        <v>26895.77</v>
      </c>
      <c r="Q165" s="149" t="n">
        <f aca="false">R165+S165</f>
        <v>18834.43</v>
      </c>
      <c r="R165" s="149" t="n">
        <v>18834.43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17"/>
      <c r="B166" s="18"/>
      <c r="C166" s="18"/>
      <c r="D166" s="18"/>
      <c r="E166" s="18"/>
      <c r="F166" s="57"/>
      <c r="G166" s="152" t="s">
        <v>26</v>
      </c>
      <c r="H166" s="153"/>
      <c r="I166" s="154"/>
      <c r="J166" s="154"/>
      <c r="K166" s="155"/>
      <c r="L166" s="155" t="n">
        <f aca="false">M166+N166</f>
        <v>0</v>
      </c>
      <c r="M166" s="155"/>
      <c r="N166" s="156"/>
      <c r="O166" s="157"/>
      <c r="P166" s="155"/>
      <c r="Q166" s="155" t="n">
        <f aca="false">R166+S166</f>
        <v>0</v>
      </c>
      <c r="R166" s="155"/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33"/>
      <c r="B167" s="34" t="s">
        <v>114</v>
      </c>
      <c r="C167" s="35" t="s">
        <v>20</v>
      </c>
      <c r="D167" s="95"/>
      <c r="E167" s="35" t="s">
        <v>25</v>
      </c>
      <c r="F167" s="71"/>
      <c r="G167" s="146" t="s">
        <v>22</v>
      </c>
      <c r="H167" s="169" t="n">
        <v>2</v>
      </c>
      <c r="I167" s="160"/>
      <c r="J167" s="160"/>
      <c r="K167" s="161"/>
      <c r="L167" s="161" t="n">
        <f aca="false">M167+N167</f>
        <v>0</v>
      </c>
      <c r="M167" s="161"/>
      <c r="N167" s="190"/>
      <c r="O167" s="163" t="n">
        <v>3</v>
      </c>
      <c r="P167" s="161" t="n">
        <v>4574.09</v>
      </c>
      <c r="Q167" s="161" t="n">
        <f aca="false">R167+S167</f>
        <v>0</v>
      </c>
      <c r="R167" s="161"/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33"/>
      <c r="B168" s="34"/>
      <c r="C168" s="34"/>
      <c r="D168" s="34"/>
      <c r="E168" s="34"/>
      <c r="F168" s="42" t="s">
        <v>274</v>
      </c>
      <c r="G168" s="164" t="s">
        <v>26</v>
      </c>
      <c r="H168" s="175" t="n">
        <v>5</v>
      </c>
      <c r="I168" s="165" t="n">
        <v>5</v>
      </c>
      <c r="J168" s="165" t="n">
        <v>5</v>
      </c>
      <c r="K168" s="166" t="n">
        <v>5596.62</v>
      </c>
      <c r="L168" s="166" t="n">
        <f aca="false">M168+N168</f>
        <v>2692.53</v>
      </c>
      <c r="M168" s="166" t="n">
        <f aca="false">2692.53</f>
        <v>2692.53</v>
      </c>
      <c r="N168" s="156"/>
      <c r="O168" s="168"/>
      <c r="P168" s="166"/>
      <c r="Q168" s="166" t="n">
        <f aca="false">R168+S168</f>
        <v>0</v>
      </c>
      <c r="R168" s="166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 t="s">
        <v>243</v>
      </c>
      <c r="C169" s="219"/>
      <c r="D169" s="19"/>
      <c r="E169" s="19"/>
      <c r="F169" s="20"/>
      <c r="G169" s="146" t="s">
        <v>22</v>
      </c>
      <c r="H169" s="173" t="n">
        <v>5</v>
      </c>
      <c r="I169" s="148" t="n">
        <v>4</v>
      </c>
      <c r="J169" s="148" t="n">
        <v>4</v>
      </c>
      <c r="K169" s="149" t="n">
        <v>4602.74</v>
      </c>
      <c r="L169" s="149" t="n">
        <f aca="false">M169+N169</f>
        <v>4062.29</v>
      </c>
      <c r="M169" s="149" t="n">
        <v>4062.29</v>
      </c>
      <c r="N169" s="190"/>
      <c r="O169" s="206"/>
      <c r="P169" s="149"/>
      <c r="Q169" s="149" t="n">
        <f aca="false">R169+S169</f>
        <v>0</v>
      </c>
      <c r="R169" s="149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/>
      <c r="C170" s="18"/>
      <c r="D170" s="18"/>
      <c r="E170" s="18"/>
      <c r="F170" s="26" t="s">
        <v>275</v>
      </c>
      <c r="G170" s="152" t="s">
        <v>26</v>
      </c>
      <c r="H170" s="174" t="n">
        <v>7</v>
      </c>
      <c r="I170" s="154" t="n">
        <v>2</v>
      </c>
      <c r="J170" s="154" t="n">
        <v>2</v>
      </c>
      <c r="K170" s="155" t="n">
        <v>5061.94</v>
      </c>
      <c r="L170" s="155" t="n">
        <f aca="false">M170+N170</f>
        <v>5061.94</v>
      </c>
      <c r="M170" s="155" t="n">
        <f aca="false">5061.94</f>
        <v>5061.94</v>
      </c>
      <c r="N170" s="156"/>
      <c r="O170" s="209"/>
      <c r="P170" s="155"/>
      <c r="Q170" s="155" t="n">
        <f aca="false">R170+S170</f>
        <v>0</v>
      </c>
      <c r="R170" s="155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54"/>
      <c r="B171" s="55" t="s">
        <v>200</v>
      </c>
      <c r="C171" s="220"/>
      <c r="D171" s="56"/>
      <c r="E171" s="56"/>
      <c r="F171" s="36"/>
      <c r="G171" s="158" t="s">
        <v>22</v>
      </c>
      <c r="H171" s="159" t="n">
        <v>25</v>
      </c>
      <c r="I171" s="160" t="n">
        <v>24</v>
      </c>
      <c r="J171" s="160" t="n">
        <v>29</v>
      </c>
      <c r="K171" s="161" t="n">
        <v>62161.52</v>
      </c>
      <c r="L171" s="161" t="n">
        <f aca="false">M171+N171</f>
        <v>44734.37</v>
      </c>
      <c r="M171" s="161" t="n">
        <v>44734.37</v>
      </c>
      <c r="N171" s="190"/>
      <c r="O171" s="163"/>
      <c r="P171" s="161"/>
      <c r="Q171" s="161" t="n">
        <f aca="false">R171+S171</f>
        <v>0</v>
      </c>
      <c r="R171" s="161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54"/>
      <c r="B172" s="55"/>
      <c r="C172" s="55"/>
      <c r="D172" s="55"/>
      <c r="E172" s="55"/>
      <c r="F172" s="57"/>
      <c r="G172" s="152" t="s">
        <v>26</v>
      </c>
      <c r="H172" s="174" t="n">
        <v>4</v>
      </c>
      <c r="I172" s="154" t="n">
        <v>4</v>
      </c>
      <c r="J172" s="154" t="n">
        <v>4</v>
      </c>
      <c r="K172" s="155" t="n">
        <v>8512.9</v>
      </c>
      <c r="L172" s="155" t="n">
        <f aca="false">M172+N172</f>
        <v>8512.9</v>
      </c>
      <c r="M172" s="155" t="n">
        <f aca="false">8512.9</f>
        <v>8512.9</v>
      </c>
      <c r="N172" s="156"/>
      <c r="O172" s="157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115</v>
      </c>
      <c r="C173" s="56" t="s">
        <v>20</v>
      </c>
      <c r="D173" s="56"/>
      <c r="E173" s="56" t="s">
        <v>116</v>
      </c>
      <c r="F173" s="36"/>
      <c r="G173" s="158" t="s">
        <v>22</v>
      </c>
      <c r="H173" s="159" t="n">
        <v>19</v>
      </c>
      <c r="I173" s="160" t="n">
        <v>15</v>
      </c>
      <c r="J173" s="160" t="n">
        <v>17</v>
      </c>
      <c r="K173" s="161" t="n">
        <v>15676.78</v>
      </c>
      <c r="L173" s="161" t="n">
        <f aca="false">M173+N173</f>
        <v>15676.78</v>
      </c>
      <c r="M173" s="161" t="n">
        <v>15676.78</v>
      </c>
      <c r="N173" s="190"/>
      <c r="O173" s="163" t="n">
        <v>20</v>
      </c>
      <c r="P173" s="161" t="n">
        <v>48729.23</v>
      </c>
      <c r="Q173" s="161" t="n">
        <f aca="false">R173+S173</f>
        <v>46122.58</v>
      </c>
      <c r="R173" s="161" t="n">
        <v>46122.58</v>
      </c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42" t="s">
        <v>201</v>
      </c>
      <c r="G174" s="164" t="s">
        <v>26</v>
      </c>
      <c r="H174" s="172" t="n">
        <v>9</v>
      </c>
      <c r="I174" s="165" t="n">
        <v>4</v>
      </c>
      <c r="J174" s="165" t="n">
        <v>4</v>
      </c>
      <c r="K174" s="166" t="n">
        <v>8915.72</v>
      </c>
      <c r="L174" s="161" t="n">
        <f aca="false">M174+N174</f>
        <v>4510.72</v>
      </c>
      <c r="M174" s="166" t="n">
        <f aca="false">1585.8+2924.92</f>
        <v>4510.72</v>
      </c>
      <c r="N174" s="156"/>
      <c r="O174" s="168" t="n">
        <v>8</v>
      </c>
      <c r="P174" s="166" t="n">
        <v>5286</v>
      </c>
      <c r="Q174" s="166" t="n">
        <f aca="false">R174+S174</f>
        <v>6167</v>
      </c>
      <c r="R174" s="166" t="n">
        <f aca="false">6167</f>
        <v>6167</v>
      </c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" hidden="false" customHeight="true" outlineLevel="0" collapsed="false">
      <c r="A175" s="17"/>
      <c r="B175" s="18" t="s">
        <v>157</v>
      </c>
      <c r="C175" s="19"/>
      <c r="D175" s="19"/>
      <c r="E175" s="127"/>
      <c r="F175" s="22"/>
      <c r="G175" s="146" t="s">
        <v>22</v>
      </c>
      <c r="H175" s="147" t="n">
        <v>12</v>
      </c>
      <c r="I175" s="148" t="n">
        <v>8</v>
      </c>
      <c r="J175" s="148" t="n">
        <v>11</v>
      </c>
      <c r="K175" s="149" t="n">
        <v>21666.31</v>
      </c>
      <c r="L175" s="149" t="n">
        <f aca="false">M175+N175</f>
        <v>18963.4</v>
      </c>
      <c r="M175" s="149" t="n">
        <v>18963.4</v>
      </c>
      <c r="N175" s="190"/>
      <c r="O175" s="151"/>
      <c r="P175" s="149"/>
      <c r="Q175" s="149" t="n">
        <f aca="false">R175+S175</f>
        <v>0</v>
      </c>
      <c r="R175" s="149"/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" hidden="false" customHeight="false" outlineLevel="0" collapsed="false">
      <c r="A176" s="17"/>
      <c r="B176" s="18"/>
      <c r="C176" s="18"/>
      <c r="D176" s="18"/>
      <c r="E176" s="127"/>
      <c r="F176" s="26" t="s">
        <v>202</v>
      </c>
      <c r="G176" s="152" t="s">
        <v>26</v>
      </c>
      <c r="H176" s="176" t="n">
        <v>2</v>
      </c>
      <c r="I176" s="154"/>
      <c r="J176" s="154"/>
      <c r="K176" s="155"/>
      <c r="L176" s="155" t="n">
        <f aca="false">M176+N176</f>
        <v>0</v>
      </c>
      <c r="M176" s="155"/>
      <c r="N176" s="156"/>
      <c r="O176" s="157" t="n">
        <v>2</v>
      </c>
      <c r="P176" s="155"/>
      <c r="Q176" s="155" t="n">
        <f aca="false">R176+S176</f>
        <v>0</v>
      </c>
      <c r="R176" s="155"/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33"/>
      <c r="B177" s="34" t="s">
        <v>117</v>
      </c>
      <c r="C177" s="35" t="s">
        <v>33</v>
      </c>
      <c r="D177" s="35" t="s">
        <v>118</v>
      </c>
      <c r="E177" s="74" t="s">
        <v>25</v>
      </c>
      <c r="F177" s="89"/>
      <c r="G177" s="158" t="s">
        <v>22</v>
      </c>
      <c r="H177" s="169"/>
      <c r="I177" s="160"/>
      <c r="J177" s="160"/>
      <c r="K177" s="161"/>
      <c r="L177" s="161" t="n">
        <f aca="false">M177+N177</f>
        <v>0</v>
      </c>
      <c r="M177" s="161"/>
      <c r="N177" s="190"/>
      <c r="O177" s="163"/>
      <c r="P177" s="161"/>
      <c r="Q177" s="161" t="n">
        <f aca="false">R177+S177</f>
        <v>0</v>
      </c>
      <c r="R177" s="161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33"/>
      <c r="B178" s="34"/>
      <c r="C178" s="34"/>
      <c r="D178" s="34"/>
      <c r="E178" s="34"/>
      <c r="F178" s="42"/>
      <c r="G178" s="158" t="s">
        <v>23</v>
      </c>
      <c r="H178" s="169"/>
      <c r="I178" s="160"/>
      <c r="J178" s="160"/>
      <c r="K178" s="161"/>
      <c r="L178" s="161" t="n">
        <f aca="false">M178+N178</f>
        <v>0</v>
      </c>
      <c r="M178" s="161"/>
      <c r="N178" s="167"/>
      <c r="O178" s="163" t="n">
        <v>2</v>
      </c>
      <c r="P178" s="161" t="n">
        <v>1762</v>
      </c>
      <c r="Q178" s="161" t="n">
        <v>1762</v>
      </c>
      <c r="R178" s="161" t="n">
        <v>1762</v>
      </c>
      <c r="S178" s="167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false" outlineLevel="0" collapsed="false">
      <c r="A179" s="33"/>
      <c r="B179" s="34"/>
      <c r="C179" s="34"/>
      <c r="D179" s="34"/>
      <c r="E179" s="34"/>
      <c r="F179" s="42"/>
      <c r="G179" s="164" t="s">
        <v>26</v>
      </c>
      <c r="H179" s="153"/>
      <c r="I179" s="165"/>
      <c r="J179" s="165"/>
      <c r="K179" s="166"/>
      <c r="L179" s="166" t="n">
        <f aca="false">M179+N179</f>
        <v>0</v>
      </c>
      <c r="M179" s="166"/>
      <c r="N179" s="156"/>
      <c r="O179" s="168" t="n">
        <v>8</v>
      </c>
      <c r="P179" s="166" t="n">
        <v>5902.7</v>
      </c>
      <c r="Q179" s="166" t="n">
        <f aca="false">R179+S179</f>
        <v>7092.05</v>
      </c>
      <c r="R179" s="166" t="n">
        <f aca="false">1762+1278.41+2862.29+1189.35</f>
        <v>7092.05</v>
      </c>
      <c r="S179" s="156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true" outlineLevel="0" collapsed="false">
      <c r="A180" s="17"/>
      <c r="B180" s="18" t="s">
        <v>119</v>
      </c>
      <c r="C180" s="19" t="s">
        <v>20</v>
      </c>
      <c r="D180" s="19"/>
      <c r="E180" s="19" t="s">
        <v>25</v>
      </c>
      <c r="F180" s="20"/>
      <c r="G180" s="146" t="s">
        <v>22</v>
      </c>
      <c r="H180" s="169"/>
      <c r="I180" s="148"/>
      <c r="J180" s="148"/>
      <c r="K180" s="149"/>
      <c r="L180" s="149" t="n">
        <f aca="false">M180+N180</f>
        <v>0</v>
      </c>
      <c r="M180" s="149"/>
      <c r="N180" s="190"/>
      <c r="O180" s="151" t="n">
        <v>2</v>
      </c>
      <c r="P180" s="149" t="n">
        <v>2643</v>
      </c>
      <c r="Q180" s="149" t="n">
        <f aca="false">R180+S180</f>
        <v>2643</v>
      </c>
      <c r="R180" s="149" t="n">
        <v>2643</v>
      </c>
      <c r="S180" s="19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42" t="s">
        <v>203</v>
      </c>
      <c r="G181" s="164" t="s">
        <v>26</v>
      </c>
      <c r="H181" s="175" t="n">
        <v>5</v>
      </c>
      <c r="I181" s="165" t="n">
        <v>2</v>
      </c>
      <c r="J181" s="165" t="n">
        <v>2</v>
      </c>
      <c r="K181" s="166" t="n">
        <v>1812.59</v>
      </c>
      <c r="L181" s="166" t="n">
        <f aca="false">M181+N181</f>
        <v>1762</v>
      </c>
      <c r="M181" s="166" t="n">
        <f aca="false">1762</f>
        <v>1762</v>
      </c>
      <c r="N181" s="156"/>
      <c r="O181" s="168" t="n">
        <v>3</v>
      </c>
      <c r="P181" s="166" t="n">
        <v>11226.21</v>
      </c>
      <c r="Q181" s="166" t="n">
        <f aca="false">R181+S181</f>
        <v>11276.8</v>
      </c>
      <c r="R181" s="166" t="n">
        <f aca="false">11276.8</f>
        <v>11276.8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225</v>
      </c>
      <c r="C182" s="19"/>
      <c r="D182" s="19"/>
      <c r="E182" s="19"/>
      <c r="F182" s="20"/>
      <c r="G182" s="146" t="s">
        <v>22</v>
      </c>
      <c r="H182" s="147"/>
      <c r="I182" s="148"/>
      <c r="J182" s="148"/>
      <c r="K182" s="149"/>
      <c r="L182" s="149" t="n">
        <f aca="false">M182+N182</f>
        <v>0</v>
      </c>
      <c r="M182" s="149"/>
      <c r="N182" s="190"/>
      <c r="O182" s="151"/>
      <c r="P182" s="149"/>
      <c r="Q182" s="149" t="n">
        <f aca="false">R182+S182</f>
        <v>0</v>
      </c>
      <c r="R182" s="149"/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" hidden="false" customHeight="false" outlineLevel="0" collapsed="false">
      <c r="A183" s="17"/>
      <c r="B183" s="18"/>
      <c r="C183" s="18"/>
      <c r="D183" s="18"/>
      <c r="E183" s="18"/>
      <c r="F183" s="26" t="s">
        <v>244</v>
      </c>
      <c r="G183" s="152" t="s">
        <v>23</v>
      </c>
      <c r="H183" s="176" t="n">
        <v>16</v>
      </c>
      <c r="I183" s="154" t="n">
        <v>12</v>
      </c>
      <c r="J183" s="154" t="n">
        <v>12</v>
      </c>
      <c r="K183" s="155" t="n">
        <v>17230</v>
      </c>
      <c r="L183" s="155" t="n">
        <v>17230</v>
      </c>
      <c r="M183" s="155" t="n">
        <v>17230</v>
      </c>
      <c r="N183" s="156"/>
      <c r="O183" s="157"/>
      <c r="P183" s="155"/>
      <c r="Q183" s="155" t="n">
        <f aca="false">R183+S183</f>
        <v>0</v>
      </c>
      <c r="R183" s="155"/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54"/>
      <c r="B184" s="55" t="s">
        <v>120</v>
      </c>
      <c r="C184" s="56" t="s">
        <v>20</v>
      </c>
      <c r="D184" s="56"/>
      <c r="E184" s="56" t="s">
        <v>25</v>
      </c>
      <c r="F184" s="36"/>
      <c r="G184" s="158" t="s">
        <v>22</v>
      </c>
      <c r="H184" s="169"/>
      <c r="I184" s="160"/>
      <c r="J184" s="160"/>
      <c r="K184" s="161"/>
      <c r="L184" s="161" t="n">
        <f aca="false">M184+N184</f>
        <v>0</v>
      </c>
      <c r="M184" s="161"/>
      <c r="N184" s="190"/>
      <c r="O184" s="163" t="n">
        <v>3</v>
      </c>
      <c r="P184" s="161" t="n">
        <v>3063.78</v>
      </c>
      <c r="Q184" s="161" t="n">
        <f aca="false">R184+S184</f>
        <v>3063.78</v>
      </c>
      <c r="R184" s="161" t="n">
        <v>3063.78</v>
      </c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.75" hidden="false" customHeight="true" outlineLevel="0" collapsed="false">
      <c r="A185" s="54"/>
      <c r="B185" s="55"/>
      <c r="C185" s="55"/>
      <c r="D185" s="55"/>
      <c r="E185" s="55"/>
      <c r="F185" s="71"/>
      <c r="G185" s="164" t="s">
        <v>26</v>
      </c>
      <c r="H185" s="175"/>
      <c r="I185" s="165"/>
      <c r="J185" s="165"/>
      <c r="K185" s="166"/>
      <c r="L185" s="166" t="n">
        <f aca="false">M185+N185</f>
        <v>0</v>
      </c>
      <c r="M185" s="166"/>
      <c r="N185" s="156"/>
      <c r="O185" s="168"/>
      <c r="P185" s="166"/>
      <c r="Q185" s="166" t="n">
        <f aca="false">R185+S185</f>
        <v>0</v>
      </c>
      <c r="R185" s="166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72"/>
      <c r="B186" s="18" t="s">
        <v>158</v>
      </c>
      <c r="C186" s="74"/>
      <c r="D186" s="56" t="s">
        <v>204</v>
      </c>
      <c r="E186" s="74"/>
      <c r="F186" s="53"/>
      <c r="G186" s="146" t="s">
        <v>22</v>
      </c>
      <c r="H186" s="195" t="n">
        <v>1</v>
      </c>
      <c r="I186" s="196"/>
      <c r="J186" s="196"/>
      <c r="K186" s="197"/>
      <c r="L186" s="197" t="n">
        <f aca="false">M186+N186</f>
        <v>0</v>
      </c>
      <c r="M186" s="197"/>
      <c r="N186" s="190"/>
      <c r="O186" s="199"/>
      <c r="P186" s="197"/>
      <c r="Q186" s="197" t="n">
        <f aca="false">R186+S186</f>
        <v>0</v>
      </c>
      <c r="R186" s="197"/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" hidden="false" customHeight="false" outlineLevel="0" collapsed="false">
      <c r="A187" s="54"/>
      <c r="B187" s="18"/>
      <c r="C187" s="56"/>
      <c r="D187" s="56"/>
      <c r="E187" s="56"/>
      <c r="F187" s="138" t="s">
        <v>205</v>
      </c>
      <c r="G187" s="152" t="s">
        <v>26</v>
      </c>
      <c r="H187" s="153" t="n">
        <v>7</v>
      </c>
      <c r="I187" s="200" t="n">
        <v>3</v>
      </c>
      <c r="J187" s="200" t="n">
        <v>3</v>
      </c>
      <c r="K187" s="201" t="n">
        <v>4739.06</v>
      </c>
      <c r="L187" s="201" t="n">
        <f aca="false">M187+N187</f>
        <v>1104.6</v>
      </c>
      <c r="M187" s="201" t="n">
        <f aca="false">1104.6</f>
        <v>1104.6</v>
      </c>
      <c r="N187" s="156"/>
      <c r="O187" s="203"/>
      <c r="P187" s="201"/>
      <c r="Q187" s="201" t="n">
        <f aca="false">R187+S187</f>
        <v>0</v>
      </c>
      <c r="R187" s="201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33"/>
      <c r="B188" s="34" t="s">
        <v>152</v>
      </c>
      <c r="C188" s="35" t="s">
        <v>20</v>
      </c>
      <c r="D188" s="35"/>
      <c r="E188" s="35" t="s">
        <v>25</v>
      </c>
      <c r="F188" s="36"/>
      <c r="G188" s="158" t="s">
        <v>22</v>
      </c>
      <c r="H188" s="169"/>
      <c r="I188" s="160"/>
      <c r="J188" s="160"/>
      <c r="K188" s="161"/>
      <c r="L188" s="161" t="n">
        <f aca="false">M188+N188</f>
        <v>0</v>
      </c>
      <c r="M188" s="161"/>
      <c r="N188" s="190"/>
      <c r="O188" s="163" t="n">
        <v>4</v>
      </c>
      <c r="P188" s="161" t="n">
        <v>7400.4</v>
      </c>
      <c r="Q188" s="161" t="n">
        <f aca="false">R188+S188</f>
        <v>7400.4</v>
      </c>
      <c r="R188" s="161" t="n">
        <v>7400.4</v>
      </c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206</v>
      </c>
      <c r="G189" s="164" t="s">
        <v>26</v>
      </c>
      <c r="H189" s="171" t="n">
        <v>4</v>
      </c>
      <c r="I189" s="165"/>
      <c r="J189" s="165" t="n">
        <v>1</v>
      </c>
      <c r="K189" s="166" t="n">
        <v>704.8</v>
      </c>
      <c r="L189" s="166" t="n">
        <v>0</v>
      </c>
      <c r="M189" s="166" t="n">
        <f aca="false">4228.8</f>
        <v>4228.8</v>
      </c>
      <c r="N189" s="156"/>
      <c r="O189" s="168" t="n">
        <v>8</v>
      </c>
      <c r="P189" s="166" t="n">
        <v>12950.7</v>
      </c>
      <c r="Q189" s="161" t="n">
        <f aca="false">R189+S189</f>
        <v>12950.7</v>
      </c>
      <c r="R189" s="166" t="n">
        <f aca="false">6959.9+5990.8</f>
        <v>12950.7</v>
      </c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17"/>
      <c r="B190" s="18" t="s">
        <v>122</v>
      </c>
      <c r="C190" s="19" t="s">
        <v>20</v>
      </c>
      <c r="D190" s="19"/>
      <c r="E190" s="19" t="s">
        <v>116</v>
      </c>
      <c r="F190" s="20"/>
      <c r="G190" s="146" t="s">
        <v>22</v>
      </c>
      <c r="H190" s="159" t="n">
        <v>39</v>
      </c>
      <c r="I190" s="148" t="n">
        <v>36</v>
      </c>
      <c r="J190" s="148" t="n">
        <v>52</v>
      </c>
      <c r="K190" s="149" t="n">
        <v>86205.41</v>
      </c>
      <c r="L190" s="149" t="n">
        <f aca="false">M190+N190</f>
        <v>76981</v>
      </c>
      <c r="M190" s="149" t="n">
        <v>73190.9</v>
      </c>
      <c r="N190" s="190" t="n">
        <v>3790.1</v>
      </c>
      <c r="O190" s="151" t="n">
        <v>34</v>
      </c>
      <c r="P190" s="149" t="n">
        <v>122132.88</v>
      </c>
      <c r="Q190" s="149" t="n">
        <f aca="false">R190+S190</f>
        <v>122132.88</v>
      </c>
      <c r="R190" s="149" t="n">
        <v>122132.88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57"/>
      <c r="G191" s="152" t="s">
        <v>26</v>
      </c>
      <c r="H191" s="153"/>
      <c r="I191" s="154"/>
      <c r="J191" s="154"/>
      <c r="K191" s="155"/>
      <c r="L191" s="155" t="n">
        <f aca="false">M191+N191</f>
        <v>0</v>
      </c>
      <c r="M191" s="155"/>
      <c r="N191" s="156"/>
      <c r="O191" s="157"/>
      <c r="P191" s="155"/>
      <c r="Q191" s="155" t="n">
        <f aca="false">R191+S191</f>
        <v>0</v>
      </c>
      <c r="R191" s="155"/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33"/>
      <c r="B192" s="34" t="s">
        <v>123</v>
      </c>
      <c r="C192" s="35" t="s">
        <v>20</v>
      </c>
      <c r="D192" s="35"/>
      <c r="E192" s="35" t="s">
        <v>25</v>
      </c>
      <c r="F192" s="36"/>
      <c r="G192" s="146" t="s">
        <v>22</v>
      </c>
      <c r="H192" s="159" t="n">
        <v>9</v>
      </c>
      <c r="I192" s="160" t="n">
        <v>6</v>
      </c>
      <c r="J192" s="160" t="n">
        <v>6</v>
      </c>
      <c r="K192" s="161" t="n">
        <v>5298.16</v>
      </c>
      <c r="L192" s="161" t="n">
        <f aca="false">M192+N192</f>
        <v>4193.56</v>
      </c>
      <c r="M192" s="161" t="n">
        <v>4193.56</v>
      </c>
      <c r="N192" s="190"/>
      <c r="O192" s="163" t="n">
        <v>6</v>
      </c>
      <c r="P192" s="161" t="n">
        <v>10868.41</v>
      </c>
      <c r="Q192" s="161" t="n">
        <f aca="false">R192+S192</f>
        <v>10868.41</v>
      </c>
      <c r="R192" s="161" t="n">
        <v>10868.41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42" t="s">
        <v>207</v>
      </c>
      <c r="G193" s="164" t="s">
        <v>26</v>
      </c>
      <c r="H193" s="153" t="n">
        <v>7</v>
      </c>
      <c r="I193" s="165" t="n">
        <v>2</v>
      </c>
      <c r="J193" s="165" t="n">
        <v>2</v>
      </c>
      <c r="K193" s="166" t="n">
        <v>1472.8</v>
      </c>
      <c r="L193" s="161" t="n">
        <f aca="false">M193+N193</f>
        <v>2761.5</v>
      </c>
      <c r="M193" s="166" t="n">
        <f aca="false">2761.5</f>
        <v>2761.5</v>
      </c>
      <c r="N193" s="156"/>
      <c r="O193" s="168" t="n">
        <v>3</v>
      </c>
      <c r="P193" s="166" t="n">
        <v>881</v>
      </c>
      <c r="Q193" s="166" t="n">
        <f aca="false">R193+S193</f>
        <v>24445.8</v>
      </c>
      <c r="R193" s="166" t="n">
        <f aca="false">24445.8</f>
        <v>24445.8</v>
      </c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17"/>
      <c r="B194" s="18" t="s">
        <v>124</v>
      </c>
      <c r="C194" s="19" t="s">
        <v>20</v>
      </c>
      <c r="D194" s="19"/>
      <c r="E194" s="19" t="s">
        <v>88</v>
      </c>
      <c r="F194" s="20"/>
      <c r="G194" s="146" t="s">
        <v>22</v>
      </c>
      <c r="H194" s="159" t="n">
        <v>22</v>
      </c>
      <c r="I194" s="148" t="n">
        <v>14</v>
      </c>
      <c r="J194" s="148" t="n">
        <v>15</v>
      </c>
      <c r="K194" s="149" t="n">
        <v>27094.04</v>
      </c>
      <c r="L194" s="149" t="n">
        <f aca="false">M194+N194</f>
        <v>27094.04</v>
      </c>
      <c r="M194" s="149" t="n">
        <v>27094.04</v>
      </c>
      <c r="N194" s="190"/>
      <c r="O194" s="151" t="n">
        <v>13</v>
      </c>
      <c r="P194" s="149" t="n">
        <v>27526.97</v>
      </c>
      <c r="Q194" s="149" t="n">
        <f aca="false">R194+S194</f>
        <v>25417.55</v>
      </c>
      <c r="R194" s="149" t="n">
        <v>25417.55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42" t="s">
        <v>245</v>
      </c>
      <c r="G195" s="164" t="s">
        <v>23</v>
      </c>
      <c r="H195" s="172" t="n">
        <v>12</v>
      </c>
      <c r="I195" s="165" t="n">
        <v>7</v>
      </c>
      <c r="J195" s="165" t="n">
        <v>7</v>
      </c>
      <c r="K195" s="166" t="n">
        <v>5551.25</v>
      </c>
      <c r="L195" s="166" t="n">
        <v>5551.25</v>
      </c>
      <c r="M195" s="166" t="n">
        <v>5551.25</v>
      </c>
      <c r="N195" s="156"/>
      <c r="O195" s="168" t="n">
        <v>7</v>
      </c>
      <c r="P195" s="166" t="n">
        <v>10647.7</v>
      </c>
      <c r="Q195" s="166" t="n">
        <v>10647.7</v>
      </c>
      <c r="R195" s="166" t="n">
        <v>10647.7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208</v>
      </c>
      <c r="C196" s="19"/>
      <c r="D196" s="19"/>
      <c r="E196" s="127"/>
      <c r="F196" s="20"/>
      <c r="G196" s="146" t="s">
        <v>22</v>
      </c>
      <c r="H196" s="173" t="n">
        <v>44</v>
      </c>
      <c r="I196" s="148" t="n">
        <v>29</v>
      </c>
      <c r="J196" s="148" t="n">
        <v>29</v>
      </c>
      <c r="K196" s="149" t="n">
        <v>35413.49</v>
      </c>
      <c r="L196" s="149" t="n">
        <f aca="false">M196+N196</f>
        <v>30664.96</v>
      </c>
      <c r="M196" s="149" t="n">
        <v>30664.96</v>
      </c>
      <c r="N196" s="190"/>
      <c r="O196" s="151"/>
      <c r="P196" s="149"/>
      <c r="Q196" s="149" t="n">
        <f aca="false">R196+S196</f>
        <v>0</v>
      </c>
      <c r="R196" s="149"/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28"/>
      <c r="F197" s="26" t="s">
        <v>246</v>
      </c>
      <c r="G197" s="152" t="s">
        <v>23</v>
      </c>
      <c r="H197" s="174" t="n">
        <v>14</v>
      </c>
      <c r="I197" s="154" t="n">
        <v>6</v>
      </c>
      <c r="J197" s="154" t="n">
        <v>6</v>
      </c>
      <c r="K197" s="155" t="n">
        <v>6375.01</v>
      </c>
      <c r="L197" s="155" t="n">
        <f aca="false">M197+N197</f>
        <v>6375.01</v>
      </c>
      <c r="M197" s="155" t="n">
        <v>6375.01</v>
      </c>
      <c r="N197" s="156"/>
      <c r="O197" s="157"/>
      <c r="P197" s="155"/>
      <c r="Q197" s="155" t="n">
        <f aca="false">R197+S197</f>
        <v>0</v>
      </c>
      <c r="R197" s="155"/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33"/>
      <c r="B198" s="34" t="s">
        <v>125</v>
      </c>
      <c r="C198" s="35" t="s">
        <v>33</v>
      </c>
      <c r="D198" s="35" t="s">
        <v>126</v>
      </c>
      <c r="E198" s="35" t="s">
        <v>127</v>
      </c>
      <c r="F198" s="36"/>
      <c r="G198" s="158" t="s">
        <v>22</v>
      </c>
      <c r="H198" s="159" t="n">
        <v>16</v>
      </c>
      <c r="I198" s="160" t="n">
        <v>11</v>
      </c>
      <c r="J198" s="160" t="n">
        <v>15</v>
      </c>
      <c r="K198" s="161" t="n">
        <v>45075.64</v>
      </c>
      <c r="L198" s="161" t="n">
        <f aca="false">M198+N198</f>
        <v>36273.83</v>
      </c>
      <c r="M198" s="161" t="n">
        <v>36273.83</v>
      </c>
      <c r="N198" s="190"/>
      <c r="O198" s="163" t="n">
        <v>14</v>
      </c>
      <c r="P198" s="161" t="n">
        <v>33154.57</v>
      </c>
      <c r="Q198" s="161" t="n">
        <f aca="false">R198+S198</f>
        <v>33154.57</v>
      </c>
      <c r="R198" s="161" t="n">
        <v>33154.57</v>
      </c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/>
      <c r="G199" s="164" t="s">
        <v>23</v>
      </c>
      <c r="H199" s="171" t="n">
        <v>34</v>
      </c>
      <c r="I199" s="165" t="n">
        <v>14</v>
      </c>
      <c r="J199" s="165" t="n">
        <v>14</v>
      </c>
      <c r="K199" s="166" t="n">
        <v>28413.38</v>
      </c>
      <c r="L199" s="166" t="n">
        <v>28413.38</v>
      </c>
      <c r="M199" s="166" t="n">
        <v>28413.38</v>
      </c>
      <c r="N199" s="156"/>
      <c r="O199" s="168" t="n">
        <v>15</v>
      </c>
      <c r="P199" s="166" t="n">
        <v>37341.32</v>
      </c>
      <c r="Q199" s="166" t="n">
        <v>37341.32</v>
      </c>
      <c r="R199" s="166" t="n">
        <v>37341.32</v>
      </c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" hidden="false" customHeight="true" outlineLevel="0" collapsed="false">
      <c r="A200" s="17"/>
      <c r="B200" s="18" t="s">
        <v>128</v>
      </c>
      <c r="C200" s="19" t="s">
        <v>20</v>
      </c>
      <c r="D200" s="19"/>
      <c r="E200" s="19" t="s">
        <v>25</v>
      </c>
      <c r="F200" s="20"/>
      <c r="G200" s="146" t="s">
        <v>22</v>
      </c>
      <c r="H200" s="159" t="n">
        <v>27</v>
      </c>
      <c r="I200" s="148" t="n">
        <v>23</v>
      </c>
      <c r="J200" s="148" t="n">
        <v>26</v>
      </c>
      <c r="K200" s="149" t="n">
        <v>24616.78</v>
      </c>
      <c r="L200" s="149" t="n">
        <f aca="false">M200+N200</f>
        <v>23180.8</v>
      </c>
      <c r="M200" s="149" t="n">
        <v>23180.8</v>
      </c>
      <c r="N200" s="190"/>
      <c r="O200" s="151" t="n">
        <v>25</v>
      </c>
      <c r="P200" s="149" t="n">
        <v>47491.14</v>
      </c>
      <c r="Q200" s="149" t="n">
        <f aca="false">R200+S200</f>
        <v>47491.14</v>
      </c>
      <c r="R200" s="149" t="n">
        <v>47491.14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71"/>
      <c r="G201" s="164" t="s">
        <v>26</v>
      </c>
      <c r="H201" s="175"/>
      <c r="I201" s="165"/>
      <c r="J201" s="165"/>
      <c r="K201" s="166"/>
      <c r="L201" s="166" t="n">
        <f aca="false">M201+N201</f>
        <v>0</v>
      </c>
      <c r="M201" s="166"/>
      <c r="N201" s="156"/>
      <c r="O201" s="168"/>
      <c r="P201" s="166"/>
      <c r="Q201" s="166" t="n">
        <f aca="false">R201+S201</f>
        <v>0</v>
      </c>
      <c r="R201" s="166"/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227</v>
      </c>
      <c r="C202" s="19"/>
      <c r="D202" s="19"/>
      <c r="E202" s="19"/>
      <c r="F202" s="20"/>
      <c r="G202" s="204" t="s">
        <v>22</v>
      </c>
      <c r="H202" s="173" t="n">
        <v>7</v>
      </c>
      <c r="I202" s="148" t="n">
        <v>1</v>
      </c>
      <c r="J202" s="148" t="n">
        <v>1</v>
      </c>
      <c r="K202" s="149" t="n">
        <v>621.99</v>
      </c>
      <c r="L202" s="149" t="n">
        <f aca="false">M202+N202</f>
        <v>0</v>
      </c>
      <c r="M202" s="149"/>
      <c r="N202" s="190"/>
      <c r="O202" s="206"/>
      <c r="P202" s="149"/>
      <c r="Q202" s="149" t="n">
        <f aca="false">R202+S202</f>
        <v>0</v>
      </c>
      <c r="R202" s="149"/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251" t="s">
        <v>26</v>
      </c>
      <c r="H203" s="177"/>
      <c r="I203" s="165"/>
      <c r="J203" s="165"/>
      <c r="K203" s="166"/>
      <c r="L203" s="166" t="n">
        <f aca="false">M203+N203</f>
        <v>0</v>
      </c>
      <c r="M203" s="166"/>
      <c r="N203" s="167"/>
      <c r="O203" s="238"/>
      <c r="P203" s="166"/>
      <c r="Q203" s="166" t="n">
        <f aca="false">R203+S203</f>
        <v>0</v>
      </c>
      <c r="R203" s="166"/>
      <c r="S203" s="167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296</v>
      </c>
      <c r="C204" s="19"/>
      <c r="D204" s="19"/>
      <c r="E204" s="19" t="s">
        <v>25</v>
      </c>
      <c r="F204" s="20"/>
      <c r="G204" s="146" t="s">
        <v>22</v>
      </c>
      <c r="H204" s="173" t="n">
        <v>2</v>
      </c>
      <c r="I204" s="148"/>
      <c r="J204" s="148"/>
      <c r="K204" s="149"/>
      <c r="L204" s="149" t="n">
        <f aca="false">M204+N204</f>
        <v>0</v>
      </c>
      <c r="M204" s="149"/>
      <c r="N204" s="150"/>
      <c r="O204" s="206"/>
      <c r="P204" s="149"/>
      <c r="Q204" s="149" t="n">
        <f aca="false">R204+S204</f>
        <v>0</v>
      </c>
      <c r="R204" s="149"/>
      <c r="S204" s="15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57"/>
      <c r="G205" s="152" t="s">
        <v>26</v>
      </c>
      <c r="H205" s="174"/>
      <c r="I205" s="154"/>
      <c r="J205" s="154"/>
      <c r="K205" s="155"/>
      <c r="L205" s="155" t="n">
        <f aca="false">M205+N205</f>
        <v>0</v>
      </c>
      <c r="M205" s="155"/>
      <c r="N205" s="156"/>
      <c r="O205" s="209"/>
      <c r="P205" s="155"/>
      <c r="Q205" s="155" t="n">
        <f aca="false">R205+S205</f>
        <v>0</v>
      </c>
      <c r="R205" s="155"/>
      <c r="S205" s="156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33"/>
      <c r="B206" s="34" t="s">
        <v>129</v>
      </c>
      <c r="C206" s="35" t="s">
        <v>38</v>
      </c>
      <c r="D206" s="35" t="s">
        <v>130</v>
      </c>
      <c r="E206" s="35" t="s">
        <v>25</v>
      </c>
      <c r="F206" s="36"/>
      <c r="G206" s="158" t="s">
        <v>22</v>
      </c>
      <c r="H206" s="159" t="n">
        <v>16</v>
      </c>
      <c r="I206" s="160" t="n">
        <v>12</v>
      </c>
      <c r="J206" s="160" t="n">
        <v>12</v>
      </c>
      <c r="K206" s="161" t="n">
        <v>13026.32</v>
      </c>
      <c r="L206" s="161" t="n">
        <f aca="false">M206+N206</f>
        <v>13026.32</v>
      </c>
      <c r="M206" s="161" t="n">
        <v>8519.19</v>
      </c>
      <c r="N206" s="190" t="n">
        <v>4507.13</v>
      </c>
      <c r="O206" s="163" t="n">
        <v>5</v>
      </c>
      <c r="P206" s="161" t="n">
        <v>66458.37</v>
      </c>
      <c r="Q206" s="161" t="n">
        <f aca="false">R206+S206</f>
        <v>66458.37</v>
      </c>
      <c r="R206" s="161" t="n">
        <v>66458.37</v>
      </c>
      <c r="S206" s="19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33"/>
      <c r="B207" s="34"/>
      <c r="C207" s="34"/>
      <c r="D207" s="34"/>
      <c r="E207" s="34"/>
      <c r="F207" s="42" t="s">
        <v>209</v>
      </c>
      <c r="G207" s="164" t="s">
        <v>26</v>
      </c>
      <c r="H207" s="153" t="n">
        <v>6</v>
      </c>
      <c r="I207" s="165" t="n">
        <v>1</v>
      </c>
      <c r="J207" s="165" t="n">
        <v>1</v>
      </c>
      <c r="K207" s="166" t="n">
        <v>1762</v>
      </c>
      <c r="L207" s="161" t="n">
        <f aca="false">M207+N207</f>
        <v>1762</v>
      </c>
      <c r="M207" s="166" t="n">
        <f aca="false">1762</f>
        <v>1762</v>
      </c>
      <c r="N207" s="156"/>
      <c r="O207" s="168" t="n">
        <v>7</v>
      </c>
      <c r="P207" s="166" t="n">
        <v>22040.1</v>
      </c>
      <c r="Q207" s="166" t="n">
        <f aca="false">R207+S207</f>
        <v>20630.6</v>
      </c>
      <c r="R207" s="166" t="n">
        <f aca="false">20630.6</f>
        <v>20630.6</v>
      </c>
      <c r="S207" s="167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6.5" hidden="false" customHeight="true" outlineLevel="0" collapsed="false">
      <c r="A208" s="17"/>
      <c r="B208" s="18" t="s">
        <v>131</v>
      </c>
      <c r="C208" s="19" t="s">
        <v>38</v>
      </c>
      <c r="D208" s="19" t="s">
        <v>130</v>
      </c>
      <c r="E208" s="19" t="s">
        <v>25</v>
      </c>
      <c r="F208" s="20"/>
      <c r="G208" s="146" t="s">
        <v>22</v>
      </c>
      <c r="H208" s="159" t="n">
        <v>10</v>
      </c>
      <c r="I208" s="148" t="n">
        <v>9</v>
      </c>
      <c r="J208" s="148" t="n">
        <v>17</v>
      </c>
      <c r="K208" s="149" t="n">
        <v>55173.64</v>
      </c>
      <c r="L208" s="149" t="n">
        <f aca="false">M208+N208</f>
        <v>55173.64</v>
      </c>
      <c r="M208" s="149" t="n">
        <v>55173.64</v>
      </c>
      <c r="N208" s="190"/>
      <c r="O208" s="151" t="n">
        <v>17</v>
      </c>
      <c r="P208" s="149" t="n">
        <v>163313.47</v>
      </c>
      <c r="Q208" s="149" t="n">
        <f aca="false">R208+S208</f>
        <v>155776.9</v>
      </c>
      <c r="R208" s="149" t="n">
        <v>155776.9</v>
      </c>
      <c r="S208" s="198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6.5" hidden="false" customHeight="true" outlineLevel="0" collapsed="false">
      <c r="A209" s="17"/>
      <c r="B209" s="18"/>
      <c r="C209" s="18"/>
      <c r="D209" s="18"/>
      <c r="E209" s="18"/>
      <c r="F209" s="26" t="s">
        <v>210</v>
      </c>
      <c r="G209" s="152" t="s">
        <v>26</v>
      </c>
      <c r="H209" s="153" t="n">
        <v>5</v>
      </c>
      <c r="I209" s="154" t="n">
        <v>4</v>
      </c>
      <c r="J209" s="154" t="n">
        <v>4</v>
      </c>
      <c r="K209" s="155" t="n">
        <v>3034.9</v>
      </c>
      <c r="L209" s="155" t="n">
        <f aca="false">M209+N209</f>
        <v>3034.9</v>
      </c>
      <c r="M209" s="155" t="n">
        <f aca="false">1585.8+528.6+920.5</f>
        <v>3034.9</v>
      </c>
      <c r="N209" s="156"/>
      <c r="O209" s="157"/>
      <c r="P209" s="155"/>
      <c r="Q209" s="155" t="n">
        <f aca="false">R209+S209</f>
        <v>0</v>
      </c>
      <c r="R209" s="155"/>
      <c r="S209" s="156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33"/>
      <c r="B210" s="34" t="s">
        <v>132</v>
      </c>
      <c r="C210" s="35" t="s">
        <v>20</v>
      </c>
      <c r="D210" s="35"/>
      <c r="E210" s="35" t="s">
        <v>69</v>
      </c>
      <c r="F210" s="38"/>
      <c r="G210" s="146" t="s">
        <v>22</v>
      </c>
      <c r="H210" s="159" t="n">
        <v>16</v>
      </c>
      <c r="I210" s="160" t="n">
        <v>13</v>
      </c>
      <c r="J210" s="160" t="n">
        <v>22</v>
      </c>
      <c r="K210" s="161" t="n">
        <v>48207.91</v>
      </c>
      <c r="L210" s="161" t="n">
        <f aca="false">M210+N210</f>
        <v>41900.39</v>
      </c>
      <c r="M210" s="161" t="n">
        <v>41900.39</v>
      </c>
      <c r="N210" s="190"/>
      <c r="O210" s="163" t="n">
        <v>15</v>
      </c>
      <c r="P210" s="161" t="n">
        <v>65486.6</v>
      </c>
      <c r="Q210" s="161" t="n">
        <f aca="false">R210+S210</f>
        <v>65486.6</v>
      </c>
      <c r="R210" s="161" t="n">
        <v>65486.6</v>
      </c>
      <c r="S210" s="19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33"/>
      <c r="B211" s="34"/>
      <c r="C211" s="34"/>
      <c r="D211" s="34"/>
      <c r="E211" s="34"/>
      <c r="F211" s="42" t="s">
        <v>211</v>
      </c>
      <c r="G211" s="164" t="s">
        <v>26</v>
      </c>
      <c r="H211" s="153" t="n">
        <v>11</v>
      </c>
      <c r="I211" s="165" t="n">
        <v>4</v>
      </c>
      <c r="J211" s="165" t="n">
        <v>4</v>
      </c>
      <c r="K211" s="166" t="n">
        <v>12298.76</v>
      </c>
      <c r="L211" s="166" t="n">
        <f aca="false">M211+N211</f>
        <v>6079.83</v>
      </c>
      <c r="M211" s="166" t="n">
        <f aca="false">6079.83</f>
        <v>6079.83</v>
      </c>
      <c r="N211" s="156"/>
      <c r="O211" s="168" t="n">
        <v>1</v>
      </c>
      <c r="P211" s="166" t="n">
        <v>3700.2</v>
      </c>
      <c r="Q211" s="166" t="n">
        <f aca="false">R211+S211</f>
        <v>3171.6</v>
      </c>
      <c r="R211" s="166" t="n">
        <f aca="false">3171.6</f>
        <v>3171.6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72"/>
      <c r="B212" s="73" t="s">
        <v>133</v>
      </c>
      <c r="C212" s="74" t="s">
        <v>20</v>
      </c>
      <c r="D212" s="74"/>
      <c r="E212" s="74" t="s">
        <v>25</v>
      </c>
      <c r="F212" s="22"/>
      <c r="G212" s="146" t="s">
        <v>22</v>
      </c>
      <c r="H212" s="159" t="n">
        <v>4</v>
      </c>
      <c r="I212" s="148" t="n">
        <v>4</v>
      </c>
      <c r="J212" s="148" t="n">
        <v>5</v>
      </c>
      <c r="K212" s="149" t="n">
        <v>7984.73</v>
      </c>
      <c r="L212" s="149" t="n">
        <f aca="false">M212+N212</f>
        <v>7984.73</v>
      </c>
      <c r="M212" s="149" t="n">
        <v>7984.73</v>
      </c>
      <c r="N212" s="190"/>
      <c r="O212" s="151" t="n">
        <v>2</v>
      </c>
      <c r="P212" s="149" t="n">
        <v>4329.79</v>
      </c>
      <c r="Q212" s="149" t="n">
        <f aca="false">R212+S212</f>
        <v>4329.79</v>
      </c>
      <c r="R212" s="149" t="n">
        <v>4329.79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72"/>
      <c r="B213" s="73"/>
      <c r="C213" s="73"/>
      <c r="D213" s="73"/>
      <c r="E213" s="73"/>
      <c r="F213" s="42" t="s">
        <v>212</v>
      </c>
      <c r="G213" s="164" t="s">
        <v>26</v>
      </c>
      <c r="H213" s="171" t="n">
        <v>4</v>
      </c>
      <c r="I213" s="165" t="n">
        <v>1</v>
      </c>
      <c r="J213" s="165" t="n">
        <v>1</v>
      </c>
      <c r="K213" s="166" t="n">
        <v>1409.6</v>
      </c>
      <c r="L213" s="166" t="n">
        <f aca="false">M213+N213</f>
        <v>1409.6</v>
      </c>
      <c r="M213" s="166" t="n">
        <f aca="false">1409.6</f>
        <v>1409.6</v>
      </c>
      <c r="N213" s="156"/>
      <c r="O213" s="168" t="n">
        <v>2</v>
      </c>
      <c r="P213" s="166" t="n">
        <v>2907.3</v>
      </c>
      <c r="Q213" s="166" t="n">
        <f aca="false">R213+S213</f>
        <v>2907.3</v>
      </c>
      <c r="R213" s="166" t="n">
        <f aca="false">1321.5+1585.8</f>
        <v>2907.3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134</v>
      </c>
      <c r="C214" s="74" t="s">
        <v>20</v>
      </c>
      <c r="D214" s="74"/>
      <c r="E214" s="74" t="s">
        <v>25</v>
      </c>
      <c r="F214" s="20"/>
      <c r="G214" s="146" t="s">
        <v>22</v>
      </c>
      <c r="H214" s="169"/>
      <c r="I214" s="148"/>
      <c r="J214" s="148"/>
      <c r="K214" s="149"/>
      <c r="L214" s="149" t="n">
        <f aca="false">M214+N214</f>
        <v>0</v>
      </c>
      <c r="M214" s="149"/>
      <c r="N214" s="190"/>
      <c r="O214" s="151" t="n">
        <v>1</v>
      </c>
      <c r="P214" s="149" t="n">
        <v>13019.26</v>
      </c>
      <c r="Q214" s="149" t="n">
        <f aca="false">R214+S214</f>
        <v>13019.26</v>
      </c>
      <c r="R214" s="149" t="n">
        <v>13019.26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.75" hidden="false" customHeight="true" outlineLevel="0" collapsed="false">
      <c r="A215" s="72"/>
      <c r="B215" s="73"/>
      <c r="C215" s="73"/>
      <c r="D215" s="73"/>
      <c r="E215" s="73"/>
      <c r="F215" s="42" t="s">
        <v>213</v>
      </c>
      <c r="G215" s="164" t="s">
        <v>26</v>
      </c>
      <c r="H215" s="153" t="n">
        <v>6</v>
      </c>
      <c r="I215" s="165" t="n">
        <v>1</v>
      </c>
      <c r="J215" s="165" t="n">
        <v>1</v>
      </c>
      <c r="K215" s="166" t="n">
        <v>552.3</v>
      </c>
      <c r="L215" s="166" t="n">
        <f aca="false">M215+N215</f>
        <v>0</v>
      </c>
      <c r="M215" s="166"/>
      <c r="N215" s="156"/>
      <c r="O215" s="168" t="n">
        <v>8</v>
      </c>
      <c r="P215" s="166" t="n">
        <v>34681.92</v>
      </c>
      <c r="Q215" s="166" t="n">
        <f aca="false">R215+S215</f>
        <v>39972.62</v>
      </c>
      <c r="R215" s="166" t="n">
        <f aca="false">34681.92+4002+1288.7</f>
        <v>39972.62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17"/>
      <c r="B216" s="18" t="s">
        <v>135</v>
      </c>
      <c r="C216" s="19" t="s">
        <v>20</v>
      </c>
      <c r="D216" s="19"/>
      <c r="E216" s="19" t="s">
        <v>69</v>
      </c>
      <c r="F216" s="22"/>
      <c r="G216" s="146" t="s">
        <v>22</v>
      </c>
      <c r="H216" s="159" t="n">
        <v>17</v>
      </c>
      <c r="I216" s="148" t="n">
        <v>7</v>
      </c>
      <c r="J216" s="148" t="n">
        <v>8</v>
      </c>
      <c r="K216" s="149" t="n">
        <v>17185.96</v>
      </c>
      <c r="L216" s="149" t="n">
        <f aca="false">M216+N216</f>
        <v>17185.96</v>
      </c>
      <c r="M216" s="149" t="n">
        <v>11754.09</v>
      </c>
      <c r="N216" s="190" t="n">
        <v>5431.87</v>
      </c>
      <c r="O216" s="151" t="n">
        <v>13</v>
      </c>
      <c r="P216" s="149" t="n">
        <v>42132.95</v>
      </c>
      <c r="Q216" s="149" t="n">
        <f aca="false">R216+S216</f>
        <v>42132.95</v>
      </c>
      <c r="R216" s="149" t="n">
        <v>42132.95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17"/>
      <c r="B217" s="18"/>
      <c r="C217" s="18"/>
      <c r="D217" s="18"/>
      <c r="E217" s="18"/>
      <c r="F217" s="26" t="s">
        <v>277</v>
      </c>
      <c r="G217" s="152" t="s">
        <v>26</v>
      </c>
      <c r="H217" s="171" t="n">
        <v>9</v>
      </c>
      <c r="I217" s="154"/>
      <c r="J217" s="154" t="n">
        <v>2</v>
      </c>
      <c r="K217" s="155" t="n">
        <v>3347.8</v>
      </c>
      <c r="L217" s="155" t="n">
        <f aca="false">M217+N217</f>
        <v>3347.8</v>
      </c>
      <c r="M217" s="155" t="n">
        <f aca="false">3347.8</f>
        <v>3347.8</v>
      </c>
      <c r="N217" s="156"/>
      <c r="O217" s="157" t="n">
        <v>2</v>
      </c>
      <c r="P217" s="155" t="n">
        <v>2292.9</v>
      </c>
      <c r="Q217" s="155" t="n">
        <f aca="false">R217+S217</f>
        <v>792.9</v>
      </c>
      <c r="R217" s="155" t="n">
        <f aca="false">792.9</f>
        <v>792.9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.75" hidden="false" customHeight="true" outlineLevel="0" collapsed="false">
      <c r="A218" s="33"/>
      <c r="B218" s="34" t="s">
        <v>136</v>
      </c>
      <c r="C218" s="35" t="s">
        <v>20</v>
      </c>
      <c r="D218" s="35"/>
      <c r="E218" s="35" t="s">
        <v>98</v>
      </c>
      <c r="F218" s="36"/>
      <c r="G218" s="146" t="s">
        <v>22</v>
      </c>
      <c r="H218" s="159" t="n">
        <v>24</v>
      </c>
      <c r="I218" s="160" t="n">
        <v>16</v>
      </c>
      <c r="J218" s="160" t="n">
        <v>24</v>
      </c>
      <c r="K218" s="161" t="n">
        <v>47408.89</v>
      </c>
      <c r="L218" s="161" t="n">
        <f aca="false">M218+N218</f>
        <v>27069.8</v>
      </c>
      <c r="M218" s="161" t="n">
        <v>27069.8</v>
      </c>
      <c r="N218" s="190"/>
      <c r="O218" s="163" t="n">
        <v>11</v>
      </c>
      <c r="P218" s="161" t="n">
        <v>27613.45</v>
      </c>
      <c r="Q218" s="161" t="n">
        <f aca="false">R218+S218</f>
        <v>14877.54</v>
      </c>
      <c r="R218" s="161" t="n">
        <v>14877.54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33"/>
      <c r="B219" s="34"/>
      <c r="C219" s="34"/>
      <c r="D219" s="34"/>
      <c r="E219" s="34"/>
      <c r="F219" s="42" t="s">
        <v>247</v>
      </c>
      <c r="G219" s="164" t="s">
        <v>23</v>
      </c>
      <c r="H219" s="171" t="n">
        <v>9</v>
      </c>
      <c r="I219" s="165" t="n">
        <v>3</v>
      </c>
      <c r="J219" s="165" t="n">
        <v>3</v>
      </c>
      <c r="K219" s="166" t="n">
        <v>4052.6</v>
      </c>
      <c r="L219" s="166" t="n">
        <f aca="false">M219+N219</f>
        <v>4052.6</v>
      </c>
      <c r="M219" s="166" t="n">
        <v>4052.6</v>
      </c>
      <c r="N219" s="156"/>
      <c r="O219" s="168" t="n">
        <v>5</v>
      </c>
      <c r="P219" s="166" t="n">
        <v>14800.8</v>
      </c>
      <c r="Q219" s="166" t="n">
        <v>14800.8</v>
      </c>
      <c r="R219" s="166" t="n">
        <v>14800.8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17"/>
      <c r="B220" s="18" t="s">
        <v>137</v>
      </c>
      <c r="C220" s="19" t="s">
        <v>20</v>
      </c>
      <c r="D220" s="19"/>
      <c r="E220" s="19" t="s">
        <v>25</v>
      </c>
      <c r="F220" s="20"/>
      <c r="G220" s="146" t="s">
        <v>22</v>
      </c>
      <c r="H220" s="169"/>
      <c r="I220" s="148"/>
      <c r="J220" s="148"/>
      <c r="K220" s="149"/>
      <c r="L220" s="149" t="n">
        <f aca="false">M220+N220</f>
        <v>0</v>
      </c>
      <c r="M220" s="149"/>
      <c r="N220" s="190"/>
      <c r="O220" s="151" t="n">
        <v>14</v>
      </c>
      <c r="P220" s="149" t="n">
        <v>46258.85</v>
      </c>
      <c r="Q220" s="149" t="n">
        <f aca="false">R220+S220</f>
        <v>46258.85</v>
      </c>
      <c r="R220" s="149" t="n">
        <v>46258.85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20.25" hidden="false" customHeight="true" outlineLevel="0" collapsed="false">
      <c r="A221" s="17"/>
      <c r="B221" s="18"/>
      <c r="C221" s="18"/>
      <c r="D221" s="18"/>
      <c r="E221" s="18"/>
      <c r="F221" s="26" t="s">
        <v>286</v>
      </c>
      <c r="G221" s="152" t="s">
        <v>26</v>
      </c>
      <c r="H221" s="153" t="n">
        <v>11</v>
      </c>
      <c r="I221" s="154" t="n">
        <v>7</v>
      </c>
      <c r="J221" s="154" t="n">
        <v>7</v>
      </c>
      <c r="K221" s="155" t="n">
        <v>7443.85</v>
      </c>
      <c r="L221" s="155" t="n">
        <f aca="false">M221+N221</f>
        <v>5265.26</v>
      </c>
      <c r="M221" s="155" t="n">
        <f aca="false">3240.16+1012.55+1012.55</f>
        <v>5265.26</v>
      </c>
      <c r="N221" s="156"/>
      <c r="O221" s="157" t="n">
        <v>7</v>
      </c>
      <c r="P221" s="155"/>
      <c r="Q221" s="155" t="n">
        <f aca="false">R221+S221</f>
        <v>13991.6</v>
      </c>
      <c r="R221" s="155" t="n">
        <f aca="false">6995.8+1288.7+5707.1</f>
        <v>13991.6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54"/>
      <c r="B222" s="55" t="s">
        <v>138</v>
      </c>
      <c r="C222" s="56" t="s">
        <v>33</v>
      </c>
      <c r="D222" s="56" t="s">
        <v>139</v>
      </c>
      <c r="E222" s="56" t="s">
        <v>25</v>
      </c>
      <c r="F222" s="36"/>
      <c r="G222" s="146" t="s">
        <v>22</v>
      </c>
      <c r="H222" s="169"/>
      <c r="I222" s="160"/>
      <c r="J222" s="160"/>
      <c r="K222" s="161"/>
      <c r="L222" s="161" t="n">
        <f aca="false">M222+N222</f>
        <v>0</v>
      </c>
      <c r="M222" s="161"/>
      <c r="N222" s="190"/>
      <c r="O222" s="163"/>
      <c r="P222" s="161"/>
      <c r="Q222" s="161" t="n">
        <f aca="false">R222+S222</f>
        <v>0</v>
      </c>
      <c r="R222" s="161"/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.75" hidden="false" customHeight="true" outlineLevel="0" collapsed="false">
      <c r="A223" s="54"/>
      <c r="B223" s="55"/>
      <c r="C223" s="55"/>
      <c r="D223" s="55"/>
      <c r="E223" s="55"/>
      <c r="F223" s="26" t="s">
        <v>214</v>
      </c>
      <c r="G223" s="152" t="s">
        <v>26</v>
      </c>
      <c r="H223" s="171" t="n">
        <v>7</v>
      </c>
      <c r="I223" s="154" t="n">
        <v>2</v>
      </c>
      <c r="J223" s="154" t="n">
        <v>2</v>
      </c>
      <c r="K223" s="155" t="n">
        <v>4158.32</v>
      </c>
      <c r="L223" s="155" t="n">
        <f aca="false">M223+N223</f>
        <v>4158.32</v>
      </c>
      <c r="M223" s="155" t="n">
        <f aca="false">2466.8+1691.52</f>
        <v>4158.32</v>
      </c>
      <c r="N223" s="156"/>
      <c r="O223" s="157"/>
      <c r="P223" s="155"/>
      <c r="Q223" s="155" t="n">
        <f aca="false">R223+S223</f>
        <v>0</v>
      </c>
      <c r="R223" s="155"/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true" outlineLevel="0" collapsed="false">
      <c r="A224" s="33"/>
      <c r="B224" s="34" t="s">
        <v>140</v>
      </c>
      <c r="C224" s="35" t="s">
        <v>20</v>
      </c>
      <c r="D224" s="35"/>
      <c r="E224" s="35" t="s">
        <v>141</v>
      </c>
      <c r="F224" s="36"/>
      <c r="G224" s="146" t="s">
        <v>22</v>
      </c>
      <c r="H224" s="159" t="n">
        <v>19</v>
      </c>
      <c r="I224" s="160" t="n">
        <v>15</v>
      </c>
      <c r="J224" s="160" t="n">
        <v>22</v>
      </c>
      <c r="K224" s="161" t="n">
        <v>34695.58</v>
      </c>
      <c r="L224" s="161" t="n">
        <f aca="false">M224+N224</f>
        <v>31020.02</v>
      </c>
      <c r="M224" s="161" t="n">
        <v>31020.02</v>
      </c>
      <c r="N224" s="190"/>
      <c r="O224" s="163" t="n">
        <v>12</v>
      </c>
      <c r="P224" s="161" t="n">
        <v>72912.46</v>
      </c>
      <c r="Q224" s="161" t="n">
        <f aca="false">R224+S224</f>
        <v>72912.46</v>
      </c>
      <c r="R224" s="161" t="n">
        <v>72912.46</v>
      </c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33"/>
      <c r="B225" s="34"/>
      <c r="C225" s="34"/>
      <c r="D225" s="34"/>
      <c r="E225" s="34"/>
      <c r="F225" s="42" t="s">
        <v>215</v>
      </c>
      <c r="G225" s="164" t="s">
        <v>26</v>
      </c>
      <c r="H225" s="175" t="n">
        <v>2</v>
      </c>
      <c r="I225" s="165"/>
      <c r="J225" s="165"/>
      <c r="K225" s="166"/>
      <c r="L225" s="166" t="n">
        <f aca="false">M225+N225</f>
        <v>0</v>
      </c>
      <c r="M225" s="166"/>
      <c r="N225" s="156"/>
      <c r="O225" s="168"/>
      <c r="P225" s="166"/>
      <c r="Q225" s="166" t="n">
        <f aca="false">R225+S225</f>
        <v>0</v>
      </c>
      <c r="R225" s="166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17"/>
      <c r="B226" s="18" t="s">
        <v>251</v>
      </c>
      <c r="C226" s="19" t="s">
        <v>20</v>
      </c>
      <c r="D226" s="19"/>
      <c r="E226" s="19" t="s">
        <v>116</v>
      </c>
      <c r="F226" s="20"/>
      <c r="G226" s="146" t="s">
        <v>22</v>
      </c>
      <c r="H226" s="173" t="n">
        <v>6</v>
      </c>
      <c r="I226" s="148" t="n">
        <v>5</v>
      </c>
      <c r="J226" s="148" t="n">
        <v>5</v>
      </c>
      <c r="K226" s="149" t="n">
        <v>6613.73</v>
      </c>
      <c r="L226" s="166" t="n">
        <f aca="false">M226+N226</f>
        <v>3851.92</v>
      </c>
      <c r="M226" s="149" t="n">
        <v>3851.92</v>
      </c>
      <c r="N226" s="190"/>
      <c r="O226" s="206"/>
      <c r="P226" s="149"/>
      <c r="Q226" s="149"/>
      <c r="R226" s="149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17"/>
      <c r="B227" s="18"/>
      <c r="C227" s="18"/>
      <c r="D227" s="18"/>
      <c r="E227" s="18"/>
      <c r="F227" s="26" t="s">
        <v>252</v>
      </c>
      <c r="G227" s="152" t="s">
        <v>26</v>
      </c>
      <c r="H227" s="174" t="n">
        <v>8</v>
      </c>
      <c r="I227" s="154"/>
      <c r="J227" s="154"/>
      <c r="K227" s="155"/>
      <c r="L227" s="166" t="n">
        <f aca="false">M227+N227</f>
        <v>0</v>
      </c>
      <c r="M227" s="155"/>
      <c r="N227" s="156"/>
      <c r="O227" s="209"/>
      <c r="P227" s="155"/>
      <c r="Q227" s="155"/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54"/>
      <c r="B228" s="55" t="s">
        <v>142</v>
      </c>
      <c r="C228" s="56" t="s">
        <v>20</v>
      </c>
      <c r="D228" s="56"/>
      <c r="E228" s="56" t="s">
        <v>25</v>
      </c>
      <c r="F228" s="36"/>
      <c r="G228" s="158" t="s">
        <v>22</v>
      </c>
      <c r="H228" s="173" t="n">
        <v>6</v>
      </c>
      <c r="I228" s="148" t="n">
        <v>5</v>
      </c>
      <c r="J228" s="148" t="n">
        <v>5</v>
      </c>
      <c r="K228" s="149" t="n">
        <v>3970.58</v>
      </c>
      <c r="L228" s="149" t="n">
        <f aca="false">M228+N228</f>
        <v>3970.58</v>
      </c>
      <c r="M228" s="149" t="n">
        <v>3970.58</v>
      </c>
      <c r="N228" s="190"/>
      <c r="O228" s="228" t="n">
        <v>6</v>
      </c>
      <c r="P228" s="161" t="n">
        <v>10969.43</v>
      </c>
      <c r="Q228" s="161" t="n">
        <f aca="false">R228+S228</f>
        <v>10969.43</v>
      </c>
      <c r="R228" s="161" t="n">
        <v>10969.43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54"/>
      <c r="B229" s="55"/>
      <c r="C229" s="55"/>
      <c r="D229" s="55"/>
      <c r="E229" s="55"/>
      <c r="F229" s="42" t="s">
        <v>216</v>
      </c>
      <c r="G229" s="164" t="s">
        <v>26</v>
      </c>
      <c r="H229" s="177" t="n">
        <v>9</v>
      </c>
      <c r="I229" s="165" t="n">
        <v>4</v>
      </c>
      <c r="J229" s="165" t="n">
        <v>4</v>
      </c>
      <c r="K229" s="166" t="n">
        <v>8384.1</v>
      </c>
      <c r="L229" s="166" t="n">
        <f aca="false">M229+N229</f>
        <v>5990.8</v>
      </c>
      <c r="M229" s="166" t="n">
        <f aca="false">5167.21+823.59</f>
        <v>5990.8</v>
      </c>
      <c r="N229" s="167"/>
      <c r="O229" s="238" t="n">
        <v>13</v>
      </c>
      <c r="P229" s="166" t="n">
        <v>8633.8</v>
      </c>
      <c r="Q229" s="166" t="n">
        <f aca="false">R229+S229</f>
        <v>14903.5</v>
      </c>
      <c r="R229" s="166" t="n">
        <f aca="false">14903.5</f>
        <v>14903.5</v>
      </c>
      <c r="S229" s="167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18" t="s">
        <v>287</v>
      </c>
      <c r="C230" s="56" t="s">
        <v>20</v>
      </c>
      <c r="D230" s="19"/>
      <c r="E230" s="56" t="s">
        <v>25</v>
      </c>
      <c r="F230" s="20"/>
      <c r="G230" s="146" t="s">
        <v>22</v>
      </c>
      <c r="H230" s="147"/>
      <c r="I230" s="148"/>
      <c r="J230" s="148"/>
      <c r="K230" s="149"/>
      <c r="L230" s="149" t="n">
        <f aca="false">M230+N230</f>
        <v>0</v>
      </c>
      <c r="M230" s="149"/>
      <c r="N230" s="150"/>
      <c r="O230" s="206"/>
      <c r="P230" s="149"/>
      <c r="Q230" s="149" t="n">
        <f aca="false">R230+S230</f>
        <v>0</v>
      </c>
      <c r="R230" s="149"/>
      <c r="S230" s="15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18"/>
      <c r="C231" s="18"/>
      <c r="D231" s="18"/>
      <c r="E231" s="18"/>
      <c r="F231" s="26" t="s">
        <v>288</v>
      </c>
      <c r="G231" s="152" t="s">
        <v>26</v>
      </c>
      <c r="H231" s="176" t="n">
        <v>5</v>
      </c>
      <c r="I231" s="154" t="n">
        <v>4</v>
      </c>
      <c r="J231" s="154" t="n">
        <v>4</v>
      </c>
      <c r="K231" s="155" t="n">
        <v>3876.4</v>
      </c>
      <c r="L231" s="155" t="n">
        <f aca="false">M231+N231</f>
        <v>3171.6</v>
      </c>
      <c r="M231" s="155" t="n">
        <f aca="false">3171.6</f>
        <v>3171.6</v>
      </c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33"/>
      <c r="B232" s="34" t="s">
        <v>143</v>
      </c>
      <c r="C232" s="35" t="s">
        <v>20</v>
      </c>
      <c r="D232" s="35"/>
      <c r="E232" s="35" t="s">
        <v>25</v>
      </c>
      <c r="F232" s="36"/>
      <c r="G232" s="158" t="s">
        <v>22</v>
      </c>
      <c r="H232" s="169" t="n">
        <v>1</v>
      </c>
      <c r="I232" s="160"/>
      <c r="J232" s="160"/>
      <c r="K232" s="161"/>
      <c r="L232" s="161" t="n">
        <f aca="false">M232+N232</f>
        <v>0</v>
      </c>
      <c r="M232" s="161"/>
      <c r="N232" s="190"/>
      <c r="O232" s="163" t="n">
        <v>1</v>
      </c>
      <c r="P232" s="161" t="n">
        <v>1515.67</v>
      </c>
      <c r="Q232" s="161" t="n">
        <f aca="false">R232+S232</f>
        <v>1515.67</v>
      </c>
      <c r="R232" s="161" t="n">
        <v>1515.67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33"/>
      <c r="B233" s="34"/>
      <c r="C233" s="34"/>
      <c r="D233" s="34"/>
      <c r="E233" s="34"/>
      <c r="F233" s="42" t="s">
        <v>217</v>
      </c>
      <c r="G233" s="164" t="s">
        <v>26</v>
      </c>
      <c r="H233" s="171" t="n">
        <v>8</v>
      </c>
      <c r="I233" s="165" t="n">
        <v>4</v>
      </c>
      <c r="J233" s="165" t="n">
        <v>4</v>
      </c>
      <c r="K233" s="166" t="n">
        <v>9664.55</v>
      </c>
      <c r="L233" s="166" t="n">
        <f aca="false">M233+N233</f>
        <v>12211.05</v>
      </c>
      <c r="M233" s="166" t="n">
        <f aca="false">11506.25+704.8</f>
        <v>12211.05</v>
      </c>
      <c r="N233" s="156"/>
      <c r="O233" s="168" t="n">
        <v>9</v>
      </c>
      <c r="P233" s="166" t="n">
        <v>34775.2</v>
      </c>
      <c r="Q233" s="166" t="n">
        <f aca="false">R233+S233</f>
        <v>35942.4</v>
      </c>
      <c r="R233" s="166" t="n">
        <f aca="false">31892.2+4050.2</f>
        <v>35942.4</v>
      </c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18" t="s">
        <v>144</v>
      </c>
      <c r="C234" s="19" t="s">
        <v>20</v>
      </c>
      <c r="D234" s="19"/>
      <c r="E234" s="19" t="s">
        <v>81</v>
      </c>
      <c r="F234" s="20"/>
      <c r="G234" s="146" t="s">
        <v>22</v>
      </c>
      <c r="H234" s="159" t="n">
        <v>14</v>
      </c>
      <c r="I234" s="148" t="n">
        <v>10</v>
      </c>
      <c r="J234" s="148" t="n">
        <v>11</v>
      </c>
      <c r="K234" s="149" t="n">
        <v>9896.72</v>
      </c>
      <c r="L234" s="149" t="n">
        <f aca="false">M234+N234</f>
        <v>7588.94</v>
      </c>
      <c r="M234" s="149" t="n">
        <v>7588.94</v>
      </c>
      <c r="N234" s="190"/>
      <c r="O234" s="151" t="n">
        <v>6</v>
      </c>
      <c r="P234" s="149" t="n">
        <v>23448.49</v>
      </c>
      <c r="Q234" s="149" t="n">
        <f aca="false">R234+S234</f>
        <v>16284.3</v>
      </c>
      <c r="R234" s="149" t="n">
        <v>16284.3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18"/>
      <c r="C235" s="18"/>
      <c r="D235" s="18"/>
      <c r="E235" s="18"/>
      <c r="F235" s="26" t="s">
        <v>218</v>
      </c>
      <c r="G235" s="152" t="s">
        <v>26</v>
      </c>
      <c r="H235" s="171" t="n">
        <v>7</v>
      </c>
      <c r="I235" s="154" t="n">
        <v>5</v>
      </c>
      <c r="J235" s="154" t="n">
        <v>5</v>
      </c>
      <c r="K235" s="155" t="n">
        <v>7366.4</v>
      </c>
      <c r="L235" s="155" t="n">
        <f aca="false">M235+N235</f>
        <v>8056.78</v>
      </c>
      <c r="M235" s="155" t="n">
        <f aca="false">7044.23+1012.55</f>
        <v>8056.78</v>
      </c>
      <c r="N235" s="156"/>
      <c r="O235" s="157" t="n">
        <v>2</v>
      </c>
      <c r="P235" s="155" t="n">
        <v>4493.1</v>
      </c>
      <c r="Q235" s="155" t="n">
        <f aca="false">R235+S235</f>
        <v>4493.1</v>
      </c>
      <c r="R235" s="155" t="n">
        <f aca="false">4493.1</f>
        <v>4493.1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true" outlineLevel="0" collapsed="false">
      <c r="A236" s="33"/>
      <c r="B236" s="34" t="s">
        <v>145</v>
      </c>
      <c r="C236" s="35" t="s">
        <v>20</v>
      </c>
      <c r="D236" s="35"/>
      <c r="E236" s="35" t="s">
        <v>98</v>
      </c>
      <c r="F236" s="36"/>
      <c r="G236" s="146" t="s">
        <v>22</v>
      </c>
      <c r="H236" s="169"/>
      <c r="I236" s="160"/>
      <c r="J236" s="160"/>
      <c r="K236" s="161"/>
      <c r="L236" s="161" t="n">
        <f aca="false">M236+N236</f>
        <v>0</v>
      </c>
      <c r="M236" s="161"/>
      <c r="N236" s="190"/>
      <c r="O236" s="163"/>
      <c r="P236" s="161"/>
      <c r="Q236" s="161" t="n">
        <f aca="false">R236+S236</f>
        <v>0</v>
      </c>
      <c r="R236" s="161"/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34"/>
      <c r="C237" s="34"/>
      <c r="D237" s="34"/>
      <c r="E237" s="34"/>
      <c r="F237" s="71"/>
      <c r="G237" s="164" t="s">
        <v>23</v>
      </c>
      <c r="H237" s="175"/>
      <c r="I237" s="165"/>
      <c r="J237" s="165"/>
      <c r="K237" s="166"/>
      <c r="L237" s="166" t="n">
        <f aca="false">M237+N237</f>
        <v>0</v>
      </c>
      <c r="M237" s="166"/>
      <c r="N237" s="156"/>
      <c r="O237" s="168"/>
      <c r="P237" s="166"/>
      <c r="Q237" s="166" t="n">
        <f aca="false">R237+S237</f>
        <v>0</v>
      </c>
      <c r="R237" s="166"/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17"/>
      <c r="B238" s="18" t="s">
        <v>146</v>
      </c>
      <c r="C238" s="19" t="s">
        <v>20</v>
      </c>
      <c r="D238" s="19"/>
      <c r="E238" s="19" t="s">
        <v>25</v>
      </c>
      <c r="F238" s="22"/>
      <c r="G238" s="146" t="s">
        <v>22</v>
      </c>
      <c r="H238" s="173" t="n">
        <v>12</v>
      </c>
      <c r="I238" s="148" t="n">
        <v>9</v>
      </c>
      <c r="J238" s="148" t="n">
        <v>11</v>
      </c>
      <c r="K238" s="149" t="n">
        <v>13677.7</v>
      </c>
      <c r="L238" s="149" t="n">
        <f aca="false">M238+N238</f>
        <v>13677.7</v>
      </c>
      <c r="M238" s="149" t="n">
        <v>13677.7</v>
      </c>
      <c r="N238" s="190"/>
      <c r="O238" s="206" t="n">
        <v>2</v>
      </c>
      <c r="P238" s="149" t="n">
        <v>15606.38</v>
      </c>
      <c r="Q238" s="149" t="n">
        <f aca="false">R238+S238</f>
        <v>15606.38</v>
      </c>
      <c r="R238" s="149" t="n">
        <v>15606.38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18"/>
      <c r="C239" s="18"/>
      <c r="D239" s="18"/>
      <c r="E239" s="18"/>
      <c r="F239" s="42" t="s">
        <v>219</v>
      </c>
      <c r="G239" s="164" t="s">
        <v>26</v>
      </c>
      <c r="H239" s="178" t="n">
        <v>6</v>
      </c>
      <c r="I239" s="165" t="n">
        <v>2</v>
      </c>
      <c r="J239" s="165" t="n">
        <v>2</v>
      </c>
      <c r="K239" s="166" t="n">
        <v>3150.65</v>
      </c>
      <c r="L239" s="166" t="n">
        <f aca="false">M239+N239</f>
        <v>3150.65</v>
      </c>
      <c r="M239" s="166" t="n">
        <f aca="false">3150.65</f>
        <v>3150.65</v>
      </c>
      <c r="N239" s="167"/>
      <c r="O239" s="238" t="n">
        <v>1</v>
      </c>
      <c r="P239" s="166" t="n">
        <v>1585.8</v>
      </c>
      <c r="Q239" s="166" t="n">
        <f aca="false">R239+S239</f>
        <v>1585.8</v>
      </c>
      <c r="R239" s="166" t="n">
        <v>1585.8</v>
      </c>
      <c r="S239" s="167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.75" hidden="false" customHeight="true" outlineLevel="0" collapsed="false">
      <c r="A240" s="17"/>
      <c r="B240" s="18" t="s">
        <v>289</v>
      </c>
      <c r="C240" s="19"/>
      <c r="D240" s="19"/>
      <c r="E240" s="19"/>
      <c r="F240" s="20"/>
      <c r="G240" s="146" t="s">
        <v>22</v>
      </c>
      <c r="H240" s="173" t="n">
        <v>6</v>
      </c>
      <c r="I240" s="148" t="n">
        <v>6</v>
      </c>
      <c r="J240" s="148" t="n">
        <v>10</v>
      </c>
      <c r="K240" s="149" t="n">
        <v>10180.58</v>
      </c>
      <c r="L240" s="149" t="n">
        <f aca="false">M240+N240</f>
        <v>7648.67</v>
      </c>
      <c r="M240" s="149" t="n">
        <v>2643</v>
      </c>
      <c r="N240" s="224" t="n">
        <v>5005.67</v>
      </c>
      <c r="O240" s="151"/>
      <c r="P240" s="149"/>
      <c r="Q240" s="149" t="n">
        <f aca="false">R240+S240</f>
        <v>0</v>
      </c>
      <c r="R240" s="149"/>
      <c r="S240" s="15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57"/>
      <c r="G241" s="152" t="s">
        <v>23</v>
      </c>
      <c r="H241" s="174" t="n">
        <v>2</v>
      </c>
      <c r="I241" s="154" t="n">
        <v>1</v>
      </c>
      <c r="J241" s="154" t="n">
        <v>1</v>
      </c>
      <c r="K241" s="155" t="n">
        <v>2325.84</v>
      </c>
      <c r="L241" s="155" t="n">
        <v>2325.84</v>
      </c>
      <c r="M241" s="155" t="n">
        <v>2325.84</v>
      </c>
      <c r="N241" s="226"/>
      <c r="O241" s="157"/>
      <c r="P241" s="155"/>
      <c r="Q241" s="155" t="n">
        <f aca="false">R241+S241</f>
        <v>0</v>
      </c>
      <c r="R241" s="155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54"/>
      <c r="B242" s="55" t="s">
        <v>147</v>
      </c>
      <c r="C242" s="56" t="s">
        <v>20</v>
      </c>
      <c r="D242" s="56"/>
      <c r="E242" s="56" t="s">
        <v>25</v>
      </c>
      <c r="F242" s="97"/>
      <c r="G242" s="158" t="s">
        <v>22</v>
      </c>
      <c r="H242" s="159" t="n">
        <v>4</v>
      </c>
      <c r="I242" s="160" t="n">
        <v>3</v>
      </c>
      <c r="J242" s="160" t="n">
        <v>3</v>
      </c>
      <c r="K242" s="161" t="n">
        <v>2093.26</v>
      </c>
      <c r="L242" s="161" t="n">
        <f aca="false">M242+N242</f>
        <v>2093.26</v>
      </c>
      <c r="M242" s="161" t="n">
        <v>2093.26</v>
      </c>
      <c r="N242" s="190"/>
      <c r="O242" s="163" t="n">
        <v>5</v>
      </c>
      <c r="P242" s="161" t="n">
        <v>18277.74</v>
      </c>
      <c r="Q242" s="161" t="n">
        <f aca="false">R242+S242</f>
        <v>18277.74</v>
      </c>
      <c r="R242" s="161" t="n">
        <v>18277.74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54"/>
      <c r="B243" s="55"/>
      <c r="C243" s="55"/>
      <c r="D243" s="55"/>
      <c r="E243" s="55"/>
      <c r="F243" s="42" t="s">
        <v>220</v>
      </c>
      <c r="G243" s="164" t="s">
        <v>26</v>
      </c>
      <c r="H243" s="172" t="n">
        <v>12</v>
      </c>
      <c r="I243" s="165" t="n">
        <v>3</v>
      </c>
      <c r="J243" s="165" t="n">
        <v>4</v>
      </c>
      <c r="K243" s="166" t="n">
        <v>10451.1</v>
      </c>
      <c r="L243" s="189" t="n">
        <f aca="false">M243+N243</f>
        <v>5517.5</v>
      </c>
      <c r="M243" s="166" t="n">
        <f aca="false">528.6+3700.2+1288.7</f>
        <v>5517.5</v>
      </c>
      <c r="N243" s="167"/>
      <c r="O243" s="168" t="n">
        <v>5</v>
      </c>
      <c r="P243" s="166" t="n">
        <v>18677.2</v>
      </c>
      <c r="Q243" s="189" t="n">
        <f aca="false">R243+S243</f>
        <v>18677.2</v>
      </c>
      <c r="R243" s="166" t="n">
        <f aca="false">7048+528.6+5638.4+5462.2</f>
        <v>18677.2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true" outlineLevel="0" collapsed="false">
      <c r="A244" s="17"/>
      <c r="B244" s="18" t="s">
        <v>297</v>
      </c>
      <c r="C244" s="19"/>
      <c r="D244" s="19"/>
      <c r="E244" s="19" t="s">
        <v>25</v>
      </c>
      <c r="F244" s="22"/>
      <c r="G244" s="146" t="s">
        <v>22</v>
      </c>
      <c r="H244" s="173" t="n">
        <v>4</v>
      </c>
      <c r="I244" s="148"/>
      <c r="J244" s="148"/>
      <c r="K244" s="149"/>
      <c r="L244" s="149" t="n">
        <f aca="false">M244+N244</f>
        <v>0</v>
      </c>
      <c r="M244" s="149"/>
      <c r="N244" s="150"/>
      <c r="O244" s="206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17"/>
      <c r="B245" s="18"/>
      <c r="C245" s="18"/>
      <c r="D245" s="18"/>
      <c r="E245" s="18"/>
      <c r="F245" s="26"/>
      <c r="G245" s="152" t="s">
        <v>26</v>
      </c>
      <c r="H245" s="174"/>
      <c r="I245" s="154"/>
      <c r="J245" s="154"/>
      <c r="K245" s="155"/>
      <c r="L245" s="155" t="n">
        <f aca="false">M245+N245</f>
        <v>0</v>
      </c>
      <c r="M245" s="155"/>
      <c r="N245" s="156"/>
      <c r="O245" s="209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54"/>
      <c r="B246" s="55" t="s">
        <v>148</v>
      </c>
      <c r="C246" s="56" t="s">
        <v>20</v>
      </c>
      <c r="D246" s="56"/>
      <c r="E246" s="56" t="s">
        <v>21</v>
      </c>
      <c r="F246" s="38"/>
      <c r="G246" s="158" t="s">
        <v>22</v>
      </c>
      <c r="H246" s="159" t="n">
        <v>3</v>
      </c>
      <c r="I246" s="160" t="n">
        <v>1</v>
      </c>
      <c r="J246" s="160" t="n">
        <v>1</v>
      </c>
      <c r="K246" s="161" t="n">
        <v>436.1</v>
      </c>
      <c r="L246" s="161" t="n">
        <f aca="false">M246+N246</f>
        <v>436.1</v>
      </c>
      <c r="M246" s="161" t="n">
        <v>436.1</v>
      </c>
      <c r="N246" s="190"/>
      <c r="O246" s="163" t="n">
        <v>1</v>
      </c>
      <c r="P246" s="161" t="n">
        <v>13232.99</v>
      </c>
      <c r="Q246" s="161" t="n">
        <f aca="false">R246+S246</f>
        <v>13232.99</v>
      </c>
      <c r="R246" s="161" t="n">
        <v>13232.99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55"/>
      <c r="C247" s="55"/>
      <c r="D247" s="55"/>
      <c r="E247" s="55"/>
      <c r="F247" s="26" t="s">
        <v>248</v>
      </c>
      <c r="G247" s="152" t="s">
        <v>23</v>
      </c>
      <c r="H247" s="171" t="n">
        <v>2</v>
      </c>
      <c r="I247" s="154"/>
      <c r="J247" s="154"/>
      <c r="K247" s="155"/>
      <c r="L247" s="155" t="n">
        <f aca="false">M247+N247</f>
        <v>0</v>
      </c>
      <c r="M247" s="155"/>
      <c r="N247" s="156"/>
      <c r="O247" s="157" t="n">
        <v>1</v>
      </c>
      <c r="P247" s="155" t="n">
        <v>572.65</v>
      </c>
      <c r="Q247" s="155" t="n">
        <v>572.65</v>
      </c>
      <c r="R247" s="155" t="n">
        <v>572.65</v>
      </c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.75" hidden="false" customHeight="true" outlineLevel="0" collapsed="false">
      <c r="A248" s="99"/>
      <c r="B248" s="100" t="s">
        <v>149</v>
      </c>
      <c r="C248" s="100"/>
      <c r="D248" s="100"/>
      <c r="E248" s="100"/>
      <c r="F248" s="100"/>
      <c r="G248" s="212"/>
      <c r="H248" s="213" t="n">
        <f aca="false">SUM(H9:H247)</f>
        <v>2108</v>
      </c>
      <c r="I248" s="214" t="n">
        <f aca="false">SUM(I9:I247)</f>
        <v>1308</v>
      </c>
      <c r="J248" s="214" t="n">
        <f aca="false">SUM(J9:J247)</f>
        <v>1551</v>
      </c>
      <c r="K248" s="215" t="n">
        <f aca="false">SUM(K9:K247)</f>
        <v>2637104.56</v>
      </c>
      <c r="L248" s="215" t="n">
        <f aca="false">SUM(L9:L247)</f>
        <v>2295874.74</v>
      </c>
      <c r="M248" s="215" t="n">
        <f aca="false">SUM(M9:M247)</f>
        <v>2186828.01</v>
      </c>
      <c r="N248" s="243" t="n">
        <f aca="false">SUM(N9:N247)</f>
        <v>109041.23</v>
      </c>
      <c r="O248" s="244" t="n">
        <f aca="false">SUM(O9:O247)</f>
        <v>1116</v>
      </c>
      <c r="P248" s="245" t="n">
        <f aca="false">SUM(P9:P247)</f>
        <v>4051399.12</v>
      </c>
      <c r="Q248" s="245" t="n">
        <f aca="false">SUM(Q9:Q247)</f>
        <v>3843810.2</v>
      </c>
      <c r="R248" s="245" t="n">
        <f aca="false">SUM(R9:R247)</f>
        <v>3843063.16</v>
      </c>
      <c r="S248" s="246" t="n">
        <f aca="false">SUM(S9:S247)</f>
        <v>8479.24</v>
      </c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I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 t="s">
        <v>290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true" outlineLevel="0" collapsed="false">
      <c r="A252" s="2"/>
      <c r="B252" s="2"/>
      <c r="C252" s="2"/>
      <c r="D252" s="2"/>
      <c r="E252" s="2"/>
      <c r="F252" s="103"/>
      <c r="G252" s="104" t="s">
        <v>5</v>
      </c>
      <c r="H252" s="104"/>
      <c r="I252" s="104"/>
      <c r="J252" s="104"/>
      <c r="K252" s="104"/>
      <c r="L252" s="104"/>
      <c r="M252" s="104"/>
      <c r="N252" s="104" t="s">
        <v>6</v>
      </c>
      <c r="O252" s="104"/>
      <c r="P252" s="104"/>
      <c r="Q252" s="104"/>
      <c r="R252" s="104"/>
      <c r="S252" s="105" t="s">
        <v>150</v>
      </c>
      <c r="T252" s="105" t="s">
        <v>253</v>
      </c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103"/>
      <c r="G253" s="106" t="s">
        <v>13</v>
      </c>
      <c r="H253" s="106" t="s">
        <v>14</v>
      </c>
      <c r="I253" s="106" t="s">
        <v>15</v>
      </c>
      <c r="J253" s="106" t="s">
        <v>226</v>
      </c>
      <c r="K253" s="106" t="s">
        <v>16</v>
      </c>
      <c r="L253" s="106" t="s">
        <v>17</v>
      </c>
      <c r="M253" s="106" t="s">
        <v>18</v>
      </c>
      <c r="N253" s="106" t="s">
        <v>15</v>
      </c>
      <c r="O253" s="106" t="s">
        <v>226</v>
      </c>
      <c r="P253" s="106" t="s">
        <v>16</v>
      </c>
      <c r="Q253" s="106" t="s">
        <v>17</v>
      </c>
      <c r="R253" s="106" t="s">
        <v>18</v>
      </c>
      <c r="S253" s="105"/>
      <c r="T253" s="105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107" t="s">
        <v>22</v>
      </c>
      <c r="G254" s="108" t="n">
        <f aca="false">SUMIF($G$9:$G$247,$F$254,H9:H247)</f>
        <v>1410</v>
      </c>
      <c r="H254" s="108" t="n">
        <f aca="false">SUMIF($G$9:$G$247,$F$254,I9:I247)</f>
        <v>993</v>
      </c>
      <c r="I254" s="108" t="n">
        <f aca="false">SUMIF($G$9:$G$247,$F$254,J9:J247)</f>
        <v>1232</v>
      </c>
      <c r="J254" s="110" t="n">
        <f aca="false">SUMIF($G$9:$G$247,F254,$K$9:$K$247)</f>
        <v>2125679.88</v>
      </c>
      <c r="K254" s="110" t="n">
        <f aca="false">SUMIF($G$9:$G$247,$F$254,L9:L247)</f>
        <v>1830040.31</v>
      </c>
      <c r="L254" s="110" t="n">
        <f aca="false">SUMIF($G$9:$G$247,$F$254,M9:M247)</f>
        <v>1734924.86</v>
      </c>
      <c r="M254" s="110" t="n">
        <f aca="false">SUMIF($G$9:$G$247,$F$254,N9:N247)</f>
        <v>95115.45</v>
      </c>
      <c r="N254" s="108" t="n">
        <f aca="false">SUMIF($G$9:$G$247,$F$254,O9:O247)</f>
        <v>751</v>
      </c>
      <c r="O254" s="110" t="n">
        <f aca="false">SUMIF($G$9:$G$247,F254,$P$9:$P$247)</f>
        <v>3139350.57</v>
      </c>
      <c r="P254" s="110" t="n">
        <f aca="false">SUMIF($G$9:$G$247,$F$254,Q9:Q247)</f>
        <v>2863747.28</v>
      </c>
      <c r="Q254" s="110" t="n">
        <f aca="false">SUMIF($G$9:$G$247,$F$254,R9:R247)</f>
        <v>2855268.04</v>
      </c>
      <c r="R254" s="110" t="n">
        <f aca="false">SUMIF($G$9:$G$247,$F$254,S9:S247)</f>
        <v>8479.24</v>
      </c>
      <c r="S254" s="110" t="n">
        <f aca="false">Q254+L254</f>
        <v>4590192.9</v>
      </c>
      <c r="T254" s="111" t="n">
        <f aca="false">J254-L254+O254-Q254</f>
        <v>674837.55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7" t="s">
        <v>26</v>
      </c>
      <c r="G255" s="108" t="n">
        <f aca="false">SUMIF($G$9:$G$247,$F$255,H9:H247)</f>
        <v>452</v>
      </c>
      <c r="H255" s="108" t="n">
        <f aca="false">SUMIF($G$9:$G$247,$F$255,I9:I247)</f>
        <v>182</v>
      </c>
      <c r="I255" s="108" t="n">
        <f aca="false">SUMIF($G$9:$G$247,$F$255,J9:J247)</f>
        <v>186</v>
      </c>
      <c r="J255" s="110" t="n">
        <f aca="false">SUMIF($G$9:$G$247,F255,$K$9:$K$247)</f>
        <v>368803.88</v>
      </c>
      <c r="K255" s="110" t="n">
        <f aca="false">SUMIF($G$9:$G$247,$F$255,L9:L247)</f>
        <v>309665.93</v>
      </c>
      <c r="L255" s="110" t="n">
        <f aca="false">SUMIF($G$9:$G$247,$F$255,M9:M247)</f>
        <v>295734.65</v>
      </c>
      <c r="M255" s="110" t="n">
        <f aca="false">SUMIF($G$9:$G$247,$F$255,N9:N247)</f>
        <v>13925.78</v>
      </c>
      <c r="N255" s="108" t="n">
        <f aca="false">SUMIF($G$9:$G$247,$F$255,O9:O247)</f>
        <v>265</v>
      </c>
      <c r="O255" s="110" t="n">
        <f aca="false">SUMIF($G$9:$G$247,F255,$P$9:$P$247)</f>
        <v>712041.36</v>
      </c>
      <c r="P255" s="110" t="n">
        <f aca="false">SUMIF($G$9:$G$247,$F$255,Q9:Q247)</f>
        <v>778205.63</v>
      </c>
      <c r="Q255" s="110" t="n">
        <f aca="false">SUMIF($G$9:$G$247,$F$255,R9:R247)</f>
        <v>785937.83</v>
      </c>
      <c r="R255" s="110" t="n">
        <f aca="false">SUMIF($G$9:$G$247,$F$255,S9:S247)</f>
        <v>0</v>
      </c>
      <c r="S255" s="110" t="n">
        <f aca="false">Q255+L255</f>
        <v>1081672.48</v>
      </c>
      <c r="T255" s="111" t="n">
        <f aca="false">J255-L255+O255-Q255</f>
        <v>-827.24000000034</v>
      </c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23</v>
      </c>
      <c r="G256" s="108" t="n">
        <f aca="false">SUMIF($G$9:$G$247,$F$256,H9:H247)</f>
        <v>246</v>
      </c>
      <c r="H256" s="108" t="n">
        <f aca="false">SUMIF($G$9:$G$247,$F$256,I9:I247)</f>
        <v>133</v>
      </c>
      <c r="I256" s="108" t="n">
        <f aca="false">SUMIF($G$9:$G$247,$F$256,J9:J247)</f>
        <v>133</v>
      </c>
      <c r="J256" s="110" t="n">
        <f aca="false">SUMIF($G$9:$G$247,F256,$K$9:$K$247)</f>
        <v>142620.8</v>
      </c>
      <c r="K256" s="110" t="n">
        <f aca="false">SUMIF($G$9:$G$247,$F$256,L9:L247)</f>
        <v>156168.5</v>
      </c>
      <c r="L256" s="110" t="n">
        <f aca="false">SUMIF($G$9:$G$247,$F$256,M9:M247)</f>
        <v>156168.5</v>
      </c>
      <c r="M256" s="110" t="n">
        <f aca="false">SUMIF($G$9:$G$247,$F$256,N9:N247)</f>
        <v>0</v>
      </c>
      <c r="N256" s="108" t="n">
        <f aca="false">SUMIF($G$9:$G$247,$F$256,O9:O247)</f>
        <v>100</v>
      </c>
      <c r="O256" s="110" t="n">
        <f aca="false">SUMIF($G$9:$G$247,F256,$P$9:$P$247)</f>
        <v>200007.19</v>
      </c>
      <c r="P256" s="110" t="n">
        <f aca="false">SUMIF($G$9:$G$247,$F$256,Q9:Q247)</f>
        <v>201857.29</v>
      </c>
      <c r="Q256" s="110" t="n">
        <f aca="false">SUMIF($G$9:$G$247,$F$256,R9:R247)</f>
        <v>201857.29</v>
      </c>
      <c r="R256" s="110" t="n">
        <f aca="false">SUMIF($G$9:$G$247,$F$256,S9:S247)</f>
        <v>0</v>
      </c>
      <c r="S256" s="110" t="n">
        <f aca="false">Q256+L256</f>
        <v>358025.79</v>
      </c>
      <c r="T256" s="111" t="n">
        <f aca="false">J256-L256+O256-Q256</f>
        <v>-15397.8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2"/>
      <c r="G257" s="216" t="n">
        <f aca="false">G256+G255+G254</f>
        <v>2108</v>
      </c>
      <c r="H257" s="216" t="n">
        <f aca="false">H256+H255+H254</f>
        <v>1308</v>
      </c>
      <c r="I257" s="216" t="n">
        <f aca="false">I256+I255+I254</f>
        <v>1551</v>
      </c>
      <c r="J257" s="217" t="n">
        <f aca="false">J256+J255+J254</f>
        <v>2637104.56</v>
      </c>
      <c r="K257" s="217" t="n">
        <f aca="false">K256+K255+K254</f>
        <v>2295874.74</v>
      </c>
      <c r="L257" s="217" t="n">
        <f aca="false">L256+L255+L254</f>
        <v>2186828.01</v>
      </c>
      <c r="M257" s="217" t="n">
        <f aca="false">M256+M255+M254</f>
        <v>109041.23</v>
      </c>
      <c r="N257" s="216" t="n">
        <f aca="false">N256+N255+N254</f>
        <v>1116</v>
      </c>
      <c r="O257" s="217" t="n">
        <f aca="false">O256+O255+O254</f>
        <v>4051399.12</v>
      </c>
      <c r="P257" s="217" t="n">
        <f aca="false">P256+P255+P254</f>
        <v>3843810.2</v>
      </c>
      <c r="Q257" s="217" t="n">
        <f aca="false">Q256+Q255+Q254</f>
        <v>3843063.16</v>
      </c>
      <c r="R257" s="217" t="n">
        <f aca="false">R256+R255+R254</f>
        <v>8479.24</v>
      </c>
      <c r="S257" s="217" t="n">
        <f aca="false">S256+S255+S254</f>
        <v>6029891.17</v>
      </c>
      <c r="T257" s="217" t="n">
        <f aca="false">T256+T255+T254</f>
        <v>658612.51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K291" s="236"/>
    </row>
    <row r="292" customFormat="false" ht="15" hidden="false" customHeight="false" outlineLevel="0" collapsed="false">
      <c r="K292" s="236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F318" s="0" t="s">
        <v>22</v>
      </c>
      <c r="G318" s="0" t="n">
        <v>1410</v>
      </c>
      <c r="H318" s="247" t="n">
        <v>993</v>
      </c>
      <c r="I318" s="247" t="n">
        <v>1232</v>
      </c>
      <c r="J318" s="0" t="n">
        <v>2125679.88</v>
      </c>
      <c r="K318" s="236"/>
      <c r="N318" s="0" t="n">
        <v>751</v>
      </c>
      <c r="O318" s="0" t="n">
        <v>3139350.57</v>
      </c>
    </row>
    <row r="319" customFormat="false" ht="15" hidden="false" customHeight="false" outlineLevel="0" collapsed="false">
      <c r="G319" s="221" t="n">
        <f aca="false">G254-G318</f>
        <v>0</v>
      </c>
      <c r="H319" s="221" t="n">
        <f aca="false">H254-H318</f>
        <v>0</v>
      </c>
      <c r="I319" s="221" t="n">
        <f aca="false">I254-I318</f>
        <v>0</v>
      </c>
      <c r="J319" s="229" t="n">
        <f aca="false">J254-J318</f>
        <v>0</v>
      </c>
      <c r="K319" s="236"/>
      <c r="N319" s="221" t="n">
        <f aca="false">N254-N318</f>
        <v>0</v>
      </c>
      <c r="O319" s="229" t="n">
        <f aca="false">O254-O318</f>
        <v>0</v>
      </c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</sheetData>
  <mergeCells count="59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9"/>
    <mergeCell ref="B177:B179"/>
    <mergeCell ref="C177:C179"/>
    <mergeCell ref="D177:D179"/>
    <mergeCell ref="E177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B186:B187"/>
    <mergeCell ref="D186:D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F252:F253"/>
    <mergeCell ref="G252:M252"/>
    <mergeCell ref="N252:R252"/>
    <mergeCell ref="S252:S253"/>
    <mergeCell ref="T252:T253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/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27</v>
      </c>
      <c r="I11" s="160" t="n">
        <v>18</v>
      </c>
      <c r="J11" s="160" t="n">
        <v>32</v>
      </c>
      <c r="K11" s="161" t="n">
        <v>71801.93</v>
      </c>
      <c r="L11" s="161" t="n">
        <f aca="false">M11+N11</f>
        <v>71801.93</v>
      </c>
      <c r="M11" s="161" t="n">
        <v>71801.93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6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27</v>
      </c>
      <c r="I13" s="148" t="n">
        <v>24</v>
      </c>
      <c r="J13" s="148" t="n">
        <v>36</v>
      </c>
      <c r="K13" s="149" t="n">
        <v>53490.39</v>
      </c>
      <c r="L13" s="149" t="n">
        <f aca="false">M13+N13</f>
        <v>47749.23</v>
      </c>
      <c r="M13" s="149" t="n">
        <v>47749.23</v>
      </c>
      <c r="N13" s="249"/>
      <c r="O13" s="228" t="n">
        <v>7</v>
      </c>
      <c r="P13" s="161" t="n">
        <v>21729.06</v>
      </c>
      <c r="Q13" s="161" t="n">
        <f aca="false">R13+S13</f>
        <v>14938.98</v>
      </c>
      <c r="R13" s="161" t="n">
        <v>14938.98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11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14</v>
      </c>
      <c r="J21" s="160" t="n">
        <v>17</v>
      </c>
      <c r="K21" s="161" t="n">
        <v>23179.37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24</v>
      </c>
      <c r="J23" s="160" t="n">
        <v>39</v>
      </c>
      <c r="K23" s="161" t="n">
        <v>56118.65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25</v>
      </c>
      <c r="I25" s="148" t="n">
        <v>19</v>
      </c>
      <c r="J25" s="148" t="n">
        <v>19</v>
      </c>
      <c r="K25" s="148" t="n">
        <v>7775.28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25</v>
      </c>
      <c r="J27" s="160" t="n">
        <v>39</v>
      </c>
      <c r="K27" s="161" t="n">
        <v>73966.8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12</v>
      </c>
      <c r="I34" s="165" t="n">
        <v>2</v>
      </c>
      <c r="J34" s="165" t="n">
        <v>2</v>
      </c>
      <c r="K34" s="166" t="n">
        <v>3347.8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15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11</v>
      </c>
      <c r="I38" s="154" t="n">
        <v>8</v>
      </c>
      <c r="J38" s="154" t="n">
        <v>8</v>
      </c>
      <c r="K38" s="155" t="n">
        <v>12142.35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17</v>
      </c>
      <c r="I43" s="160" t="n">
        <v>16</v>
      </c>
      <c r="J43" s="160" t="n">
        <v>21</v>
      </c>
      <c r="K43" s="161" t="n">
        <v>45643.98</v>
      </c>
      <c r="L43" s="161" t="n">
        <f aca="false">M43+N43</f>
        <v>36053.18</v>
      </c>
      <c r="M43" s="161" t="n">
        <v>36053.18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0</v>
      </c>
      <c r="R45" s="149"/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7</v>
      </c>
      <c r="P46" s="166" t="n">
        <v>19654.4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11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6</v>
      </c>
      <c r="P48" s="155" t="n">
        <v>17663.63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57</v>
      </c>
      <c r="I53" s="148" t="n">
        <v>50</v>
      </c>
      <c r="J53" s="148" t="n">
        <v>51</v>
      </c>
      <c r="K53" s="149" t="n">
        <v>64741.74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29</v>
      </c>
      <c r="I55" s="160" t="n">
        <v>23</v>
      </c>
      <c r="J55" s="160" t="n">
        <v>32</v>
      </c>
      <c r="K55" s="161" t="n">
        <v>59571.37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7</v>
      </c>
      <c r="I57" s="160" t="n">
        <v>3</v>
      </c>
      <c r="J57" s="160" t="n">
        <v>4</v>
      </c>
      <c r="K57" s="161" t="n">
        <v>6325.52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2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5</v>
      </c>
      <c r="I63" s="148" t="n">
        <v>2</v>
      </c>
      <c r="J63" s="148" t="n">
        <v>2</v>
      </c>
      <c r="K63" s="149" t="n">
        <v>881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7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18</v>
      </c>
      <c r="K65" s="161" t="n">
        <v>36724.29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9</v>
      </c>
      <c r="I68" s="154" t="n">
        <v>6</v>
      </c>
      <c r="J68" s="154" t="n">
        <v>6</v>
      </c>
      <c r="K68" s="155" t="n">
        <v>4507.7</v>
      </c>
      <c r="L68" s="155" t="n">
        <f aca="false">M68+N68</f>
        <v>4507.7</v>
      </c>
      <c r="M68" s="155" t="n">
        <v>3403.1</v>
      </c>
      <c r="N68" s="156" t="n">
        <v>1104.6</v>
      </c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13</v>
      </c>
      <c r="I69" s="160" t="n">
        <v>7</v>
      </c>
      <c r="J69" s="160" t="n">
        <v>12</v>
      </c>
      <c r="K69" s="161" t="n">
        <v>21739.72</v>
      </c>
      <c r="L69" s="161" t="n">
        <f aca="false">M69+N69</f>
        <v>21739.72</v>
      </c>
      <c r="M69" s="161" t="n">
        <v>21739.72</v>
      </c>
      <c r="N69" s="190"/>
      <c r="O69" s="163" t="n">
        <v>10</v>
      </c>
      <c r="P69" s="161" t="n">
        <v>62059.28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26</v>
      </c>
      <c r="I71" s="148" t="n">
        <v>18</v>
      </c>
      <c r="J71" s="148" t="n">
        <v>18</v>
      </c>
      <c r="K71" s="149" t="n">
        <v>35297.27</v>
      </c>
      <c r="L71" s="149" t="n">
        <f aca="false">M71+N71</f>
        <v>29641.45</v>
      </c>
      <c r="M71" s="149" t="n">
        <v>29641.45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28</v>
      </c>
      <c r="I73" s="160" t="n">
        <v>26</v>
      </c>
      <c r="J73" s="160" t="n">
        <v>31</v>
      </c>
      <c r="K73" s="161" t="n">
        <v>67039.07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11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14</v>
      </c>
      <c r="I81" s="148" t="n">
        <v>7</v>
      </c>
      <c r="J81" s="148" t="n">
        <v>7</v>
      </c>
      <c r="K81" s="149" t="n">
        <v>30516.45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25</v>
      </c>
      <c r="I82" s="154" t="n">
        <v>14</v>
      </c>
      <c r="J82" s="154" t="n">
        <v>14</v>
      </c>
      <c r="K82" s="155" t="n">
        <v>20898.32</v>
      </c>
      <c r="L82" s="155" t="n">
        <v>20898.32</v>
      </c>
      <c r="M82" s="155" t="n">
        <v>15179.42</v>
      </c>
      <c r="N82" s="156" t="n">
        <v>5718.9</v>
      </c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5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1</v>
      </c>
      <c r="J86" s="165" t="n">
        <v>1</v>
      </c>
      <c r="K86" s="166" t="n">
        <v>1841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10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12</v>
      </c>
      <c r="P89" s="149" t="n">
        <v>49906.05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33</v>
      </c>
      <c r="J90" s="165" t="n">
        <v>33</v>
      </c>
      <c r="K90" s="166" t="n">
        <v>41149.9</v>
      </c>
      <c r="L90" s="166" t="n">
        <v>41149.9</v>
      </c>
      <c r="M90" s="166" t="n">
        <v>41149.9</v>
      </c>
      <c r="N90" s="156"/>
      <c r="O90" s="168" t="n">
        <v>35</v>
      </c>
      <c r="P90" s="166" t="n">
        <v>71364.22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7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9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13</v>
      </c>
      <c r="I93" s="148" t="n">
        <v>5</v>
      </c>
      <c r="J93" s="148" t="n">
        <v>6</v>
      </c>
      <c r="K93" s="149" t="n">
        <v>14215.51</v>
      </c>
      <c r="L93" s="149" t="n">
        <f aca="false">M93+N93</f>
        <v>11087.86</v>
      </c>
      <c r="M93" s="149" t="n">
        <v>11087.86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9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1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10</v>
      </c>
      <c r="I97" s="160" t="n">
        <v>8</v>
      </c>
      <c r="J97" s="160" t="n">
        <v>8</v>
      </c>
      <c r="K97" s="161" t="n">
        <v>13173.07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7</v>
      </c>
      <c r="I98" s="165" t="n">
        <v>3</v>
      </c>
      <c r="J98" s="165" t="n">
        <v>3</v>
      </c>
      <c r="K98" s="166" t="n">
        <v>4052.6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6</v>
      </c>
      <c r="I99" s="148" t="n">
        <v>4</v>
      </c>
      <c r="J99" s="148" t="n">
        <v>5</v>
      </c>
      <c r="K99" s="149" t="n">
        <v>9768.84</v>
      </c>
      <c r="L99" s="149" t="n">
        <f aca="false">M99+N99</f>
        <v>7062.57</v>
      </c>
      <c r="M99" s="149" t="n">
        <v>7062.57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30</v>
      </c>
      <c r="K101" s="161" t="n">
        <v>61067.91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21</v>
      </c>
      <c r="I103" s="148" t="n">
        <v>16</v>
      </c>
      <c r="J103" s="148" t="n">
        <v>16</v>
      </c>
      <c r="K103" s="149" t="n">
        <v>13275.45</v>
      </c>
      <c r="L103" s="149" t="n">
        <f aca="false">M103+N103</f>
        <v>12723.15</v>
      </c>
      <c r="M103" s="149" t="n">
        <v>12723.15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11</v>
      </c>
      <c r="J105" s="148" t="n">
        <v>13</v>
      </c>
      <c r="K105" s="149" t="n">
        <v>11054.79</v>
      </c>
      <c r="L105" s="149" t="n">
        <f aca="false">M105+N105</f>
        <v>7482.33</v>
      </c>
      <c r="M105" s="149" t="n">
        <v>7482.33</v>
      </c>
      <c r="N105" s="190"/>
      <c r="O105" s="151" t="n">
        <v>8</v>
      </c>
      <c r="P105" s="149" t="n">
        <v>47130.25</v>
      </c>
      <c r="Q105" s="149" t="n">
        <f aca="false">R105+S105</f>
        <v>12279.73</v>
      </c>
      <c r="R105" s="149" t="n">
        <v>12279.73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3</v>
      </c>
      <c r="I107" s="154" t="n">
        <v>4</v>
      </c>
      <c r="J107" s="154" t="n">
        <v>4</v>
      </c>
      <c r="K107" s="155" t="n">
        <v>6038.2</v>
      </c>
      <c r="L107" s="155" t="n">
        <v>6038.2</v>
      </c>
      <c r="M107" s="155" t="n">
        <v>6038.2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9</v>
      </c>
      <c r="I108" s="160" t="n">
        <v>6</v>
      </c>
      <c r="J108" s="160" t="n">
        <v>7</v>
      </c>
      <c r="K108" s="161" t="n">
        <v>13195.1</v>
      </c>
      <c r="L108" s="161" t="n">
        <f aca="false">M108+N108</f>
        <v>11123.42</v>
      </c>
      <c r="M108" s="161" t="n">
        <v>11123.42</v>
      </c>
      <c r="N108" s="190"/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30</v>
      </c>
      <c r="I112" s="148" t="n">
        <v>27</v>
      </c>
      <c r="J112" s="148" t="n">
        <v>35</v>
      </c>
      <c r="K112" s="149" t="n">
        <v>48977.66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4</v>
      </c>
      <c r="J113" s="165" t="n">
        <v>4</v>
      </c>
      <c r="K113" s="166" t="n">
        <v>11398.05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/>
      <c r="J114" s="148"/>
      <c r="K114" s="149"/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31</v>
      </c>
      <c r="I118" s="160" t="n">
        <v>24</v>
      </c>
      <c r="J118" s="160" t="n">
        <v>34</v>
      </c>
      <c r="K118" s="161" t="n">
        <v>61737.14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7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34</v>
      </c>
      <c r="I122" s="148" t="n">
        <v>24</v>
      </c>
      <c r="J122" s="148" t="n">
        <v>29</v>
      </c>
      <c r="K122" s="149" t="n">
        <v>35379.14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26</v>
      </c>
      <c r="I123" s="165" t="n">
        <v>15</v>
      </c>
      <c r="J123" s="165" t="n">
        <v>15</v>
      </c>
      <c r="K123" s="166" t="n">
        <v>16358.1</v>
      </c>
      <c r="L123" s="166" t="n">
        <v>16358.1</v>
      </c>
      <c r="M123" s="166" t="n">
        <v>13412.5</v>
      </c>
      <c r="N123" s="156" t="n">
        <v>2945.6</v>
      </c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26</v>
      </c>
      <c r="I124" s="148" t="n">
        <v>19</v>
      </c>
      <c r="J124" s="148" t="n">
        <v>26</v>
      </c>
      <c r="K124" s="149" t="n">
        <v>120678.58</v>
      </c>
      <c r="L124" s="149" t="n">
        <f aca="false">M124+N124</f>
        <v>78634.92</v>
      </c>
      <c r="M124" s="149" t="n">
        <v>78634.92</v>
      </c>
      <c r="N124" s="190"/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34</v>
      </c>
      <c r="I126" s="160" t="n">
        <v>14</v>
      </c>
      <c r="J126" s="160" t="n">
        <v>15</v>
      </c>
      <c r="K126" s="161" t="n">
        <v>50248.5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1</v>
      </c>
      <c r="J132" s="154" t="n">
        <v>1</v>
      </c>
      <c r="K132" s="155" t="n">
        <v>2446.8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7</v>
      </c>
      <c r="J135" s="148" t="n">
        <v>8</v>
      </c>
      <c r="K135" s="149" t="n">
        <v>16726.6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21</v>
      </c>
      <c r="I136" s="165" t="n">
        <v>14</v>
      </c>
      <c r="J136" s="165" t="n">
        <v>14</v>
      </c>
      <c r="K136" s="166" t="n">
        <v>13017.85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33</v>
      </c>
      <c r="I137" s="148" t="n">
        <v>25</v>
      </c>
      <c r="J137" s="148" t="n">
        <v>33</v>
      </c>
      <c r="K137" s="149" t="n">
        <v>90552.27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14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12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27</v>
      </c>
      <c r="I142" s="160" t="n">
        <v>20</v>
      </c>
      <c r="J142" s="160" t="n">
        <v>22</v>
      </c>
      <c r="K142" s="161" t="n">
        <v>11923.35</v>
      </c>
      <c r="L142" s="161" t="n">
        <f aca="false">M142+N142</f>
        <v>7606.2</v>
      </c>
      <c r="M142" s="161" t="n">
        <v>7606.2</v>
      </c>
      <c r="N142" s="190"/>
      <c r="O142" s="163" t="n">
        <v>25</v>
      </c>
      <c r="P142" s="161" t="n">
        <v>56744.77</v>
      </c>
      <c r="Q142" s="161" t="n">
        <f aca="false">R142+S142</f>
        <v>48668.87</v>
      </c>
      <c r="R142" s="161" t="n">
        <v>48668.87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12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7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21</v>
      </c>
      <c r="I147" s="160" t="n">
        <v>18</v>
      </c>
      <c r="J147" s="160" t="n">
        <v>19</v>
      </c>
      <c r="K147" s="161" t="n">
        <v>23557.5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5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6</v>
      </c>
      <c r="I149" s="148" t="n">
        <v>4</v>
      </c>
      <c r="J149" s="148" t="n">
        <v>5</v>
      </c>
      <c r="K149" s="149" t="n">
        <v>10058.94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10</v>
      </c>
      <c r="I150" s="165" t="n">
        <v>3</v>
      </c>
      <c r="J150" s="165" t="n">
        <v>3</v>
      </c>
      <c r="K150" s="166" t="n">
        <v>7618.6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 t="n">
        <v>2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42" t="s">
        <v>281</v>
      </c>
      <c r="G154" s="164" t="s">
        <v>26</v>
      </c>
      <c r="H154" s="175" t="n">
        <v>3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304</v>
      </c>
      <c r="C155" s="19"/>
      <c r="D155" s="19"/>
      <c r="E155" s="19" t="s">
        <v>25</v>
      </c>
      <c r="F155" s="20"/>
      <c r="G155" s="21" t="s">
        <v>22</v>
      </c>
      <c r="H155" s="21" t="n">
        <v>1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105</v>
      </c>
      <c r="C157" s="35" t="s">
        <v>33</v>
      </c>
      <c r="D157" s="35" t="s">
        <v>106</v>
      </c>
      <c r="E157" s="35" t="s">
        <v>107</v>
      </c>
      <c r="F157" s="36"/>
      <c r="G157" s="158" t="s">
        <v>22</v>
      </c>
      <c r="H157" s="169" t="n">
        <v>8</v>
      </c>
      <c r="I157" s="160" t="n">
        <v>3</v>
      </c>
      <c r="J157" s="160" t="n">
        <v>3</v>
      </c>
      <c r="K157" s="161" t="n">
        <v>2479.18</v>
      </c>
      <c r="L157" s="161" t="n">
        <f aca="false">M157+N157</f>
        <v>1617.46</v>
      </c>
      <c r="M157" s="161" t="n">
        <v>1617.46</v>
      </c>
      <c r="N157" s="190"/>
      <c r="O157" s="163" t="n">
        <v>11</v>
      </c>
      <c r="P157" s="161" t="n">
        <v>54093.04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194</v>
      </c>
      <c r="G158" s="164" t="s">
        <v>26</v>
      </c>
      <c r="H158" s="153" t="n">
        <v>2</v>
      </c>
      <c r="I158" s="165"/>
      <c r="J158" s="165"/>
      <c r="K158" s="166"/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73" t="s">
        <v>108</v>
      </c>
      <c r="C159" s="74" t="s">
        <v>33</v>
      </c>
      <c r="D159" s="74" t="s">
        <v>109</v>
      </c>
      <c r="E159" s="74" t="s">
        <v>25</v>
      </c>
      <c r="F159" s="20"/>
      <c r="G159" s="146" t="s">
        <v>22</v>
      </c>
      <c r="H159" s="159" t="n">
        <v>13</v>
      </c>
      <c r="I159" s="148" t="n">
        <v>11</v>
      </c>
      <c r="J159" s="148" t="n">
        <v>13</v>
      </c>
      <c r="K159" s="149" t="n">
        <v>32078.76</v>
      </c>
      <c r="L159" s="149" t="n">
        <f aca="false">M159+N159</f>
        <v>21755.92</v>
      </c>
      <c r="M159" s="149" t="n">
        <v>21755.92</v>
      </c>
      <c r="N159" s="190"/>
      <c r="O159" s="151" t="n">
        <v>22</v>
      </c>
      <c r="P159" s="149" t="n">
        <v>57535.32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73"/>
      <c r="C160" s="73"/>
      <c r="D160" s="73"/>
      <c r="E160" s="73"/>
      <c r="F160" s="4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 t="s">
        <v>110</v>
      </c>
      <c r="C161" s="19" t="s">
        <v>33</v>
      </c>
      <c r="D161" s="19" t="s">
        <v>111</v>
      </c>
      <c r="E161" s="19" t="s">
        <v>25</v>
      </c>
      <c r="F161" s="20"/>
      <c r="G161" s="146" t="s">
        <v>22</v>
      </c>
      <c r="H161" s="159" t="n">
        <v>30</v>
      </c>
      <c r="I161" s="148" t="n">
        <v>25</v>
      </c>
      <c r="J161" s="193" t="n">
        <v>31</v>
      </c>
      <c r="K161" s="149" t="n">
        <v>38363.42</v>
      </c>
      <c r="L161" s="149" t="n">
        <f aca="false">M161+N161</f>
        <v>25113.93</v>
      </c>
      <c r="M161" s="149" t="n">
        <v>25113.93</v>
      </c>
      <c r="N161" s="190"/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4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40" t="s">
        <v>282</v>
      </c>
      <c r="C163" s="19" t="s">
        <v>33</v>
      </c>
      <c r="D163" s="19" t="s">
        <v>283</v>
      </c>
      <c r="E163" s="19" t="s">
        <v>284</v>
      </c>
      <c r="F163" s="20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40"/>
      <c r="C164" s="19"/>
      <c r="D164" s="19"/>
      <c r="E164" s="19"/>
      <c r="F164" s="26" t="s">
        <v>285</v>
      </c>
      <c r="G164" s="152" t="s">
        <v>23</v>
      </c>
      <c r="H164" s="174" t="n">
        <v>6</v>
      </c>
      <c r="I164" s="154" t="n">
        <v>2</v>
      </c>
      <c r="J164" s="154" t="n">
        <v>2</v>
      </c>
      <c r="K164" s="242" t="n">
        <v>1472.8</v>
      </c>
      <c r="L164" s="242" t="n">
        <f aca="false">M164+N164</f>
        <v>1472.8</v>
      </c>
      <c r="M164" s="242" t="n">
        <v>1472.8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34" t="s">
        <v>112</v>
      </c>
      <c r="C165" s="35" t="s">
        <v>20</v>
      </c>
      <c r="D165" s="35" t="s">
        <v>197</v>
      </c>
      <c r="E165" s="35" t="s">
        <v>25</v>
      </c>
      <c r="F165" s="36"/>
      <c r="G165" s="158" t="s">
        <v>22</v>
      </c>
      <c r="H165" s="159" t="n">
        <v>22</v>
      </c>
      <c r="I165" s="160" t="n">
        <v>22</v>
      </c>
      <c r="J165" s="160" t="n">
        <v>31</v>
      </c>
      <c r="K165" s="140" t="n">
        <v>79081.21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26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18" t="s">
        <v>113</v>
      </c>
      <c r="C167" s="19" t="s">
        <v>20</v>
      </c>
      <c r="D167" s="19"/>
      <c r="E167" s="19" t="s">
        <v>31</v>
      </c>
      <c r="F167" s="36"/>
      <c r="G167" s="146" t="s">
        <v>22</v>
      </c>
      <c r="H167" s="159" t="n">
        <v>16</v>
      </c>
      <c r="I167" s="148" t="n">
        <v>13</v>
      </c>
      <c r="J167" s="148" t="n">
        <v>16</v>
      </c>
      <c r="K167" s="149" t="n">
        <v>32741.22</v>
      </c>
      <c r="L167" s="149" t="n">
        <f aca="false">M167+N167</f>
        <v>31283.15</v>
      </c>
      <c r="M167" s="149" t="n">
        <v>31283.15</v>
      </c>
      <c r="N167" s="190"/>
      <c r="O167" s="151" t="n">
        <v>10</v>
      </c>
      <c r="P167" s="149" t="n">
        <v>26895.77</v>
      </c>
      <c r="Q167" s="149" t="n">
        <f aca="false">R167+S167</f>
        <v>18834.43</v>
      </c>
      <c r="R167" s="149" t="n">
        <v>18834.43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57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34" t="s">
        <v>114</v>
      </c>
      <c r="C169" s="35" t="s">
        <v>20</v>
      </c>
      <c r="D169" s="95"/>
      <c r="E169" s="35" t="s">
        <v>25</v>
      </c>
      <c r="F169" s="71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4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 t="s">
        <v>243</v>
      </c>
      <c r="C171" s="219"/>
      <c r="D171" s="19"/>
      <c r="E171" s="19"/>
      <c r="F171" s="20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4062.29</v>
      </c>
      <c r="M171" s="149" t="n">
        <v>4062.29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 t="s">
        <v>275</v>
      </c>
      <c r="G172" s="152" t="s">
        <v>26</v>
      </c>
      <c r="H172" s="174" t="n">
        <v>7</v>
      </c>
      <c r="I172" s="154" t="n">
        <v>2</v>
      </c>
      <c r="J172" s="154" t="n">
        <v>2</v>
      </c>
      <c r="K172" s="155" t="n">
        <v>5061.94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200</v>
      </c>
      <c r="C173" s="220"/>
      <c r="D173" s="56"/>
      <c r="E173" s="56"/>
      <c r="F173" s="36"/>
      <c r="G173" s="158" t="s">
        <v>22</v>
      </c>
      <c r="H173" s="159" t="n">
        <v>25</v>
      </c>
      <c r="I173" s="160" t="n">
        <v>24</v>
      </c>
      <c r="J173" s="160" t="n">
        <v>29</v>
      </c>
      <c r="K173" s="161" t="n">
        <v>62161.52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57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 t="s">
        <v>115</v>
      </c>
      <c r="C175" s="56" t="s">
        <v>20</v>
      </c>
      <c r="D175" s="56"/>
      <c r="E175" s="56" t="s">
        <v>116</v>
      </c>
      <c r="F175" s="36"/>
      <c r="G175" s="158" t="s">
        <v>22</v>
      </c>
      <c r="H175" s="159" t="n">
        <v>19</v>
      </c>
      <c r="I175" s="160" t="n">
        <v>15</v>
      </c>
      <c r="J175" s="160" t="n">
        <v>17</v>
      </c>
      <c r="K175" s="161" t="n">
        <v>15676.78</v>
      </c>
      <c r="L175" s="161" t="n">
        <f aca="false">M175+N175</f>
        <v>15676.78</v>
      </c>
      <c r="M175" s="161" t="n">
        <v>15676.78</v>
      </c>
      <c r="N175" s="190"/>
      <c r="O175" s="163" t="n">
        <v>20</v>
      </c>
      <c r="P175" s="161" t="n">
        <v>48729.23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55"/>
      <c r="C176" s="55"/>
      <c r="D176" s="55"/>
      <c r="E176" s="55"/>
      <c r="F176" s="42" t="s">
        <v>201</v>
      </c>
      <c r="G176" s="164" t="s">
        <v>26</v>
      </c>
      <c r="H176" s="172" t="n">
        <v>9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18" t="s">
        <v>157</v>
      </c>
      <c r="C177" s="19"/>
      <c r="D177" s="19"/>
      <c r="E177" s="127"/>
      <c r="F177" s="22"/>
      <c r="G177" s="146" t="s">
        <v>22</v>
      </c>
      <c r="H177" s="147" t="n">
        <v>12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18"/>
      <c r="C178" s="18"/>
      <c r="D178" s="18"/>
      <c r="E178" s="127"/>
      <c r="F178" s="26" t="s">
        <v>202</v>
      </c>
      <c r="G178" s="152" t="s">
        <v>26</v>
      </c>
      <c r="H178" s="176" t="n">
        <v>2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34" t="s">
        <v>117</v>
      </c>
      <c r="C179" s="35" t="s">
        <v>33</v>
      </c>
      <c r="D179" s="35" t="s">
        <v>118</v>
      </c>
      <c r="E179" s="74" t="s">
        <v>25</v>
      </c>
      <c r="F179" s="89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34"/>
      <c r="C180" s="34"/>
      <c r="D180" s="34"/>
      <c r="E180" s="34"/>
      <c r="F180" s="4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34"/>
      <c r="C181" s="34"/>
      <c r="D181" s="34"/>
      <c r="E181" s="34"/>
      <c r="F181" s="4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119</v>
      </c>
      <c r="C182" s="19" t="s">
        <v>20</v>
      </c>
      <c r="D182" s="19"/>
      <c r="E182" s="19" t="s">
        <v>25</v>
      </c>
      <c r="F182" s="20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203</v>
      </c>
      <c r="G183" s="164" t="s">
        <v>26</v>
      </c>
      <c r="H183" s="175" t="n">
        <v>5</v>
      </c>
      <c r="I183" s="165" t="n">
        <v>2</v>
      </c>
      <c r="J183" s="165" t="n">
        <v>2</v>
      </c>
      <c r="K183" s="166" t="n">
        <v>1812.59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3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225</v>
      </c>
      <c r="C184" s="19"/>
      <c r="D184" s="19"/>
      <c r="E184" s="19"/>
      <c r="F184" s="20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18"/>
      <c r="C185" s="18"/>
      <c r="D185" s="18"/>
      <c r="E185" s="18"/>
      <c r="F185" s="26" t="s">
        <v>244</v>
      </c>
      <c r="G185" s="152" t="s">
        <v>23</v>
      </c>
      <c r="H185" s="176" t="n">
        <v>16</v>
      </c>
      <c r="I185" s="154" t="n">
        <v>12</v>
      </c>
      <c r="J185" s="154" t="n">
        <v>12</v>
      </c>
      <c r="K185" s="155" t="n">
        <v>17230</v>
      </c>
      <c r="L185" s="155" t="n">
        <v>17230</v>
      </c>
      <c r="M185" s="155" t="n">
        <v>17230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55" t="s">
        <v>120</v>
      </c>
      <c r="C186" s="56" t="s">
        <v>20</v>
      </c>
      <c r="D186" s="56"/>
      <c r="E186" s="56" t="s">
        <v>25</v>
      </c>
      <c r="F186" s="36"/>
      <c r="G186" s="158" t="s">
        <v>22</v>
      </c>
      <c r="H186" s="169"/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55"/>
      <c r="C187" s="55"/>
      <c r="D187" s="55"/>
      <c r="E187" s="55"/>
      <c r="F187" s="71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18" t="s">
        <v>158</v>
      </c>
      <c r="C188" s="74"/>
      <c r="D188" s="56" t="s">
        <v>204</v>
      </c>
      <c r="E188" s="74"/>
      <c r="F188" s="53"/>
      <c r="G188" s="146" t="s">
        <v>22</v>
      </c>
      <c r="H188" s="195" t="n">
        <v>1</v>
      </c>
      <c r="I188" s="196"/>
      <c r="J188" s="196"/>
      <c r="K188" s="197"/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18"/>
      <c r="C189" s="56"/>
      <c r="D189" s="56"/>
      <c r="E189" s="56"/>
      <c r="F189" s="138" t="s">
        <v>205</v>
      </c>
      <c r="G189" s="152" t="s">
        <v>26</v>
      </c>
      <c r="H189" s="153" t="n">
        <v>7</v>
      </c>
      <c r="I189" s="200" t="n">
        <v>3</v>
      </c>
      <c r="J189" s="200" t="n">
        <v>3</v>
      </c>
      <c r="K189" s="201" t="n">
        <v>4739.06</v>
      </c>
      <c r="L189" s="201" t="n">
        <f aca="false">M189+N189</f>
        <v>1104.6</v>
      </c>
      <c r="M189" s="201" t="n">
        <f aca="false">1104.6</f>
        <v>1104.6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34" t="s">
        <v>152</v>
      </c>
      <c r="C190" s="35" t="s">
        <v>20</v>
      </c>
      <c r="D190" s="35"/>
      <c r="E190" s="35" t="s">
        <v>25</v>
      </c>
      <c r="F190" s="36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4</v>
      </c>
      <c r="P190" s="161" t="n">
        <v>7400.4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206</v>
      </c>
      <c r="G191" s="164" t="s">
        <v>26</v>
      </c>
      <c r="H191" s="171" t="n">
        <v>4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18" t="s">
        <v>122</v>
      </c>
      <c r="C192" s="19" t="s">
        <v>20</v>
      </c>
      <c r="D192" s="19"/>
      <c r="E192" s="19" t="s">
        <v>116</v>
      </c>
      <c r="F192" s="20"/>
      <c r="G192" s="146" t="s">
        <v>22</v>
      </c>
      <c r="H192" s="159" t="n">
        <v>41</v>
      </c>
      <c r="I192" s="148" t="n">
        <v>39</v>
      </c>
      <c r="J192" s="148" t="n">
        <v>56</v>
      </c>
      <c r="K192" s="149" t="n">
        <v>89688.59</v>
      </c>
      <c r="L192" s="149" t="n">
        <f aca="false">M192+N192</f>
        <v>76981</v>
      </c>
      <c r="M192" s="149" t="n">
        <v>76981</v>
      </c>
      <c r="N192" s="190"/>
      <c r="O192" s="151" t="n">
        <v>37</v>
      </c>
      <c r="P192" s="149" t="n">
        <v>136168.49</v>
      </c>
      <c r="Q192" s="149" t="n">
        <f aca="false">R192+S192</f>
        <v>122132.88</v>
      </c>
      <c r="R192" s="149" t="n">
        <v>122132.88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123</v>
      </c>
      <c r="C194" s="35" t="s">
        <v>20</v>
      </c>
      <c r="D194" s="35"/>
      <c r="E194" s="35" t="s">
        <v>25</v>
      </c>
      <c r="F194" s="36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207</v>
      </c>
      <c r="G195" s="164" t="s">
        <v>26</v>
      </c>
      <c r="H195" s="153" t="n">
        <v>7</v>
      </c>
      <c r="I195" s="165" t="n">
        <v>2</v>
      </c>
      <c r="J195" s="165" t="n">
        <v>2</v>
      </c>
      <c r="K195" s="166" t="n">
        <v>1472.8</v>
      </c>
      <c r="L195" s="161" t="n">
        <f aca="false">M195+N195</f>
        <v>2761.5</v>
      </c>
      <c r="M195" s="166" t="n">
        <f aca="false">2761.5</f>
        <v>2761.5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124</v>
      </c>
      <c r="C196" s="19" t="s">
        <v>20</v>
      </c>
      <c r="D196" s="19"/>
      <c r="E196" s="19" t="s">
        <v>88</v>
      </c>
      <c r="F196" s="20"/>
      <c r="G196" s="146" t="s">
        <v>22</v>
      </c>
      <c r="H196" s="159" t="n">
        <v>22</v>
      </c>
      <c r="I196" s="148" t="n">
        <v>14</v>
      </c>
      <c r="J196" s="148" t="n">
        <v>15</v>
      </c>
      <c r="K196" s="149" t="n">
        <v>27094.04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42" t="s">
        <v>245</v>
      </c>
      <c r="G197" s="164" t="s">
        <v>23</v>
      </c>
      <c r="H197" s="172" t="n">
        <v>12</v>
      </c>
      <c r="I197" s="165" t="n">
        <v>7</v>
      </c>
      <c r="J197" s="165" t="n">
        <v>7</v>
      </c>
      <c r="K197" s="166" t="n">
        <v>5551.25</v>
      </c>
      <c r="L197" s="166" t="n">
        <v>5551.25</v>
      </c>
      <c r="M197" s="166" t="n">
        <v>5551.25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208</v>
      </c>
      <c r="C198" s="19"/>
      <c r="D198" s="19"/>
      <c r="E198" s="127"/>
      <c r="F198" s="20"/>
      <c r="G198" s="146" t="s">
        <v>22</v>
      </c>
      <c r="H198" s="173" t="n">
        <v>46</v>
      </c>
      <c r="I198" s="148" t="n">
        <v>29</v>
      </c>
      <c r="J198" s="148" t="n">
        <v>29</v>
      </c>
      <c r="K198" s="149" t="n">
        <v>35413.49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28"/>
      <c r="F199" s="26" t="s">
        <v>246</v>
      </c>
      <c r="G199" s="152" t="s">
        <v>23</v>
      </c>
      <c r="H199" s="174" t="n">
        <v>14</v>
      </c>
      <c r="I199" s="154" t="n">
        <v>7</v>
      </c>
      <c r="J199" s="154" t="n">
        <v>7</v>
      </c>
      <c r="K199" s="155" t="n">
        <v>6375.01</v>
      </c>
      <c r="L199" s="155" t="n">
        <f aca="false">M199+N199</f>
        <v>6375.01</v>
      </c>
      <c r="M199" s="155" t="n">
        <v>6375.01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125</v>
      </c>
      <c r="C200" s="35" t="s">
        <v>33</v>
      </c>
      <c r="D200" s="35" t="s">
        <v>126</v>
      </c>
      <c r="E200" s="35" t="s">
        <v>127</v>
      </c>
      <c r="F200" s="36"/>
      <c r="G200" s="158" t="s">
        <v>22</v>
      </c>
      <c r="H200" s="159" t="n">
        <v>17</v>
      </c>
      <c r="I200" s="160" t="n">
        <v>11</v>
      </c>
      <c r="J200" s="160" t="n">
        <v>15</v>
      </c>
      <c r="K200" s="161" t="n">
        <v>45075.64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/>
      <c r="G201" s="164" t="s">
        <v>23</v>
      </c>
      <c r="H201" s="171" t="n">
        <v>34</v>
      </c>
      <c r="I201" s="165" t="n">
        <v>14</v>
      </c>
      <c r="J201" s="165" t="n">
        <v>14</v>
      </c>
      <c r="K201" s="166" t="n">
        <v>28413.38</v>
      </c>
      <c r="L201" s="166" t="n">
        <v>28413.38</v>
      </c>
      <c r="M201" s="166" t="n">
        <v>28413.38</v>
      </c>
      <c r="N201" s="156"/>
      <c r="O201" s="168" t="n">
        <v>15</v>
      </c>
      <c r="P201" s="166" t="n">
        <v>37341.32</v>
      </c>
      <c r="Q201" s="166" t="n">
        <v>37341.32</v>
      </c>
      <c r="R201" s="166" t="n">
        <v>37341.32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128</v>
      </c>
      <c r="C202" s="19" t="s">
        <v>20</v>
      </c>
      <c r="D202" s="19"/>
      <c r="E202" s="19" t="s">
        <v>25</v>
      </c>
      <c r="F202" s="20"/>
      <c r="G202" s="146" t="s">
        <v>22</v>
      </c>
      <c r="H202" s="159" t="n">
        <v>28</v>
      </c>
      <c r="I202" s="148" t="n">
        <v>23</v>
      </c>
      <c r="J202" s="148" t="n">
        <v>26</v>
      </c>
      <c r="K202" s="149" t="n">
        <v>24616.78</v>
      </c>
      <c r="L202" s="149" t="n">
        <f aca="false">M202+N202</f>
        <v>23180.8</v>
      </c>
      <c r="M202" s="149" t="n">
        <v>23180.8</v>
      </c>
      <c r="N202" s="190"/>
      <c r="O202" s="151" t="n">
        <v>25</v>
      </c>
      <c r="P202" s="149" t="n">
        <v>47491.14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227</v>
      </c>
      <c r="C204" s="19"/>
      <c r="D204" s="19"/>
      <c r="E204" s="19"/>
      <c r="F204" s="20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71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296</v>
      </c>
      <c r="C206" s="19"/>
      <c r="D206" s="19"/>
      <c r="E206" s="19" t="s">
        <v>25</v>
      </c>
      <c r="F206" s="20"/>
      <c r="G206" s="146" t="s">
        <v>22</v>
      </c>
      <c r="H206" s="173" t="n">
        <v>2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57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34" t="s">
        <v>129</v>
      </c>
      <c r="C208" s="35" t="s">
        <v>38</v>
      </c>
      <c r="D208" s="35" t="s">
        <v>130</v>
      </c>
      <c r="E208" s="35" t="s">
        <v>25</v>
      </c>
      <c r="F208" s="36"/>
      <c r="G208" s="158" t="s">
        <v>22</v>
      </c>
      <c r="H208" s="159" t="n">
        <v>17</v>
      </c>
      <c r="I208" s="160" t="n">
        <v>12</v>
      </c>
      <c r="J208" s="160" t="n">
        <v>12</v>
      </c>
      <c r="K208" s="161" t="n">
        <v>13026.32</v>
      </c>
      <c r="L208" s="161" t="n">
        <f aca="false">M208+N208</f>
        <v>13026.32</v>
      </c>
      <c r="M208" s="161" t="n">
        <v>13026.32</v>
      </c>
      <c r="N208" s="190"/>
      <c r="O208" s="163" t="n">
        <v>5</v>
      </c>
      <c r="P208" s="161" t="n">
        <v>66458.37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34"/>
      <c r="C209" s="34"/>
      <c r="D209" s="34"/>
      <c r="E209" s="34"/>
      <c r="F209" s="42" t="s">
        <v>209</v>
      </c>
      <c r="G209" s="164" t="s">
        <v>26</v>
      </c>
      <c r="H209" s="153" t="n">
        <v>6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18" t="s">
        <v>131</v>
      </c>
      <c r="C210" s="19" t="s">
        <v>38</v>
      </c>
      <c r="D210" s="19" t="s">
        <v>130</v>
      </c>
      <c r="E210" s="19" t="s">
        <v>25</v>
      </c>
      <c r="F210" s="20"/>
      <c r="G210" s="146" t="s">
        <v>22</v>
      </c>
      <c r="H210" s="159" t="n">
        <v>11</v>
      </c>
      <c r="I210" s="148" t="n">
        <v>9</v>
      </c>
      <c r="J210" s="148" t="n">
        <v>17</v>
      </c>
      <c r="K210" s="149" t="n">
        <v>55173.64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18"/>
      <c r="C211" s="18"/>
      <c r="D211" s="18"/>
      <c r="E211" s="18"/>
      <c r="F211" s="26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34" t="s">
        <v>132</v>
      </c>
      <c r="C212" s="35" t="s">
        <v>20</v>
      </c>
      <c r="D212" s="35"/>
      <c r="E212" s="35" t="s">
        <v>69</v>
      </c>
      <c r="F212" s="38"/>
      <c r="G212" s="146" t="s">
        <v>22</v>
      </c>
      <c r="H212" s="159" t="n">
        <v>16</v>
      </c>
      <c r="I212" s="160" t="n">
        <v>13</v>
      </c>
      <c r="J212" s="160" t="n">
        <v>22</v>
      </c>
      <c r="K212" s="161" t="n">
        <v>48207.91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34"/>
      <c r="C213" s="34"/>
      <c r="D213" s="34"/>
      <c r="E213" s="34"/>
      <c r="F213" s="42" t="s">
        <v>211</v>
      </c>
      <c r="G213" s="164" t="s">
        <v>26</v>
      </c>
      <c r="H213" s="153" t="n">
        <v>11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133</v>
      </c>
      <c r="C214" s="74" t="s">
        <v>20</v>
      </c>
      <c r="D214" s="74"/>
      <c r="E214" s="74" t="s">
        <v>25</v>
      </c>
      <c r="F214" s="22"/>
      <c r="G214" s="146" t="s">
        <v>22</v>
      </c>
      <c r="H214" s="159" t="n">
        <v>4</v>
      </c>
      <c r="I214" s="148" t="n">
        <v>4</v>
      </c>
      <c r="J214" s="148" t="n">
        <v>5</v>
      </c>
      <c r="K214" s="149" t="n">
        <v>7984.73</v>
      </c>
      <c r="L214" s="149" t="n">
        <f aca="false">M214+N214</f>
        <v>7984.73</v>
      </c>
      <c r="M214" s="149" t="n">
        <v>7984.73</v>
      </c>
      <c r="N214" s="190"/>
      <c r="O214" s="151" t="n">
        <v>2</v>
      </c>
      <c r="P214" s="149" t="n">
        <v>4329.79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73"/>
      <c r="C215" s="73"/>
      <c r="D215" s="73"/>
      <c r="E215" s="73"/>
      <c r="F215" s="42" t="s">
        <v>212</v>
      </c>
      <c r="G215" s="164" t="s">
        <v>26</v>
      </c>
      <c r="H215" s="171" t="n">
        <v>4</v>
      </c>
      <c r="I215" s="165" t="n">
        <v>1</v>
      </c>
      <c r="J215" s="165" t="n">
        <v>1</v>
      </c>
      <c r="K215" s="166" t="n">
        <v>1409.6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73" t="s">
        <v>134</v>
      </c>
      <c r="C216" s="74" t="s">
        <v>20</v>
      </c>
      <c r="D216" s="74"/>
      <c r="E216" s="74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73"/>
      <c r="C217" s="73"/>
      <c r="D217" s="73"/>
      <c r="E217" s="73"/>
      <c r="F217" s="4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18" t="s">
        <v>135</v>
      </c>
      <c r="C218" s="19" t="s">
        <v>20</v>
      </c>
      <c r="D218" s="19"/>
      <c r="E218" s="19" t="s">
        <v>69</v>
      </c>
      <c r="F218" s="22"/>
      <c r="G218" s="146" t="s">
        <v>22</v>
      </c>
      <c r="H218" s="159" t="n">
        <v>17</v>
      </c>
      <c r="I218" s="148" t="n">
        <v>11</v>
      </c>
      <c r="J218" s="148" t="n">
        <v>11</v>
      </c>
      <c r="K218" s="149" t="n">
        <v>22692.43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277</v>
      </c>
      <c r="G219" s="152" t="s">
        <v>26</v>
      </c>
      <c r="H219" s="171" t="n">
        <v>9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136</v>
      </c>
      <c r="C220" s="35" t="s">
        <v>20</v>
      </c>
      <c r="D220" s="35"/>
      <c r="E220" s="35" t="s">
        <v>98</v>
      </c>
      <c r="F220" s="36"/>
      <c r="G220" s="146" t="s">
        <v>22</v>
      </c>
      <c r="H220" s="159" t="n">
        <v>24</v>
      </c>
      <c r="I220" s="160" t="n">
        <v>16</v>
      </c>
      <c r="J220" s="160" t="n">
        <v>24</v>
      </c>
      <c r="K220" s="161" t="n">
        <v>47408.89</v>
      </c>
      <c r="L220" s="161" t="n">
        <f aca="false">M220+N220</f>
        <v>27069.8</v>
      </c>
      <c r="M220" s="161" t="n">
        <v>27069.8</v>
      </c>
      <c r="N220" s="190"/>
      <c r="O220" s="163" t="n">
        <v>11</v>
      </c>
      <c r="P220" s="161" t="n">
        <v>27613.45</v>
      </c>
      <c r="Q220" s="161" t="n">
        <f aca="false">R220+S220</f>
        <v>14877.54</v>
      </c>
      <c r="R220" s="161" t="n">
        <v>14877.54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137</v>
      </c>
      <c r="C222" s="19" t="s">
        <v>20</v>
      </c>
      <c r="D222" s="19"/>
      <c r="E222" s="19" t="s">
        <v>25</v>
      </c>
      <c r="F222" s="20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18"/>
      <c r="C223" s="18"/>
      <c r="D223" s="18"/>
      <c r="E223" s="18"/>
      <c r="F223" s="26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138</v>
      </c>
      <c r="C224" s="56" t="s">
        <v>33</v>
      </c>
      <c r="D224" s="56" t="s">
        <v>139</v>
      </c>
      <c r="E224" s="56" t="s">
        <v>25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34" t="s">
        <v>140</v>
      </c>
      <c r="C226" s="35" t="s">
        <v>20</v>
      </c>
      <c r="D226" s="35"/>
      <c r="E226" s="35" t="s">
        <v>141</v>
      </c>
      <c r="F226" s="36"/>
      <c r="G226" s="146" t="s">
        <v>22</v>
      </c>
      <c r="H226" s="159" t="n">
        <v>22</v>
      </c>
      <c r="I226" s="160" t="n">
        <v>18</v>
      </c>
      <c r="J226" s="160" t="n">
        <v>29</v>
      </c>
      <c r="K226" s="161" t="n">
        <v>45981.11</v>
      </c>
      <c r="L226" s="161" t="n">
        <f aca="false">M226+N226</f>
        <v>31020.02</v>
      </c>
      <c r="M226" s="161" t="n">
        <v>31020.02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215</v>
      </c>
      <c r="G227" s="164" t="s">
        <v>26</v>
      </c>
      <c r="H227" s="175" t="n">
        <v>2</v>
      </c>
      <c r="I227" s="165"/>
      <c r="J227" s="165"/>
      <c r="K227" s="166"/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251</v>
      </c>
      <c r="C228" s="19" t="s">
        <v>20</v>
      </c>
      <c r="D228" s="19"/>
      <c r="E228" s="19" t="s">
        <v>116</v>
      </c>
      <c r="F228" s="20"/>
      <c r="G228" s="146" t="s">
        <v>22</v>
      </c>
      <c r="H228" s="173" t="n">
        <v>6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252</v>
      </c>
      <c r="G229" s="152" t="s">
        <v>26</v>
      </c>
      <c r="H229" s="174" t="n">
        <v>8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142</v>
      </c>
      <c r="C230" s="56" t="s">
        <v>20</v>
      </c>
      <c r="D230" s="56"/>
      <c r="E230" s="56" t="s">
        <v>25</v>
      </c>
      <c r="F230" s="36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42" t="s">
        <v>216</v>
      </c>
      <c r="G231" s="164" t="s">
        <v>26</v>
      </c>
      <c r="H231" s="177" t="n">
        <v>9</v>
      </c>
      <c r="I231" s="165" t="n">
        <v>4</v>
      </c>
      <c r="J231" s="165" t="n">
        <v>4</v>
      </c>
      <c r="K231" s="166" t="n">
        <v>8384.1</v>
      </c>
      <c r="L231" s="166" t="n">
        <f aca="false">M231+N231</f>
        <v>5990.8</v>
      </c>
      <c r="M231" s="166" t="n">
        <f aca="false">5167.21+823.59</f>
        <v>5990.8</v>
      </c>
      <c r="N231" s="167"/>
      <c r="O231" s="238" t="n">
        <v>13</v>
      </c>
      <c r="P231" s="166" t="n">
        <v>14903.5</v>
      </c>
      <c r="Q231" s="166" t="n">
        <f aca="false">R231+S231</f>
        <v>14903.5</v>
      </c>
      <c r="R231" s="166" t="n">
        <f aca="false">14903.5</f>
        <v>14903.5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287</v>
      </c>
      <c r="C232" s="56" t="s">
        <v>20</v>
      </c>
      <c r="D232" s="19"/>
      <c r="E232" s="56" t="s">
        <v>25</v>
      </c>
      <c r="F232" s="20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288</v>
      </c>
      <c r="G233" s="152" t="s">
        <v>26</v>
      </c>
      <c r="H233" s="176" t="n">
        <v>5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34" t="s">
        <v>143</v>
      </c>
      <c r="C234" s="35" t="s">
        <v>20</v>
      </c>
      <c r="D234" s="35"/>
      <c r="E234" s="35" t="s">
        <v>25</v>
      </c>
      <c r="F234" s="36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34"/>
      <c r="C235" s="34"/>
      <c r="D235" s="34"/>
      <c r="E235" s="34"/>
      <c r="F235" s="42" t="s">
        <v>217</v>
      </c>
      <c r="G235" s="164" t="s">
        <v>26</v>
      </c>
      <c r="H235" s="171" t="n">
        <v>8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144</v>
      </c>
      <c r="C236" s="19" t="s">
        <v>20</v>
      </c>
      <c r="D236" s="19"/>
      <c r="E236" s="19" t="s">
        <v>81</v>
      </c>
      <c r="F236" s="20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34" t="s">
        <v>145</v>
      </c>
      <c r="C238" s="35" t="s">
        <v>20</v>
      </c>
      <c r="D238" s="35"/>
      <c r="E238" s="35" t="s">
        <v>98</v>
      </c>
      <c r="F238" s="36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34"/>
      <c r="C239" s="34"/>
      <c r="D239" s="34"/>
      <c r="E239" s="34"/>
      <c r="F239" s="71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146</v>
      </c>
      <c r="C240" s="19" t="s">
        <v>20</v>
      </c>
      <c r="D240" s="19"/>
      <c r="E240" s="19" t="s">
        <v>25</v>
      </c>
      <c r="F240" s="22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13677.7</v>
      </c>
      <c r="M240" s="149" t="n">
        <v>13677.7</v>
      </c>
      <c r="N240" s="190"/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42" t="s">
        <v>219</v>
      </c>
      <c r="G241" s="164" t="s">
        <v>26</v>
      </c>
      <c r="H241" s="178" t="n">
        <v>6</v>
      </c>
      <c r="I241" s="165" t="n">
        <v>2</v>
      </c>
      <c r="J241" s="165" t="n">
        <v>2</v>
      </c>
      <c r="K241" s="166" t="n">
        <v>3150.65</v>
      </c>
      <c r="L241" s="166" t="n">
        <f aca="false">M241+N241</f>
        <v>3150.65</v>
      </c>
      <c r="M241" s="166" t="n">
        <f aca="false">3150.65</f>
        <v>3150.65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18" t="s">
        <v>289</v>
      </c>
      <c r="C242" s="19"/>
      <c r="D242" s="19"/>
      <c r="E242" s="19"/>
      <c r="F242" s="20"/>
      <c r="G242" s="146" t="s">
        <v>22</v>
      </c>
      <c r="H242" s="173" t="n">
        <v>7</v>
      </c>
      <c r="I242" s="148" t="n">
        <v>6</v>
      </c>
      <c r="J242" s="148" t="n">
        <v>10</v>
      </c>
      <c r="K242" s="149" t="n">
        <v>10180.58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18"/>
      <c r="C243" s="18"/>
      <c r="D243" s="18"/>
      <c r="E243" s="18"/>
      <c r="F243" s="57"/>
      <c r="G243" s="152" t="s">
        <v>23</v>
      </c>
      <c r="H243" s="174" t="n">
        <v>3</v>
      </c>
      <c r="I243" s="154" t="n">
        <v>1</v>
      </c>
      <c r="J243" s="154" t="n">
        <v>1</v>
      </c>
      <c r="K243" s="155" t="n">
        <v>2325.84</v>
      </c>
      <c r="L243" s="155" t="n">
        <v>2325.84</v>
      </c>
      <c r="M243" s="155" t="n">
        <v>2325.84</v>
      </c>
      <c r="N243" s="226"/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55" t="s">
        <v>147</v>
      </c>
      <c r="C244" s="56" t="s">
        <v>20</v>
      </c>
      <c r="D244" s="56"/>
      <c r="E244" s="56" t="s">
        <v>25</v>
      </c>
      <c r="F244" s="97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55"/>
      <c r="C245" s="55"/>
      <c r="D245" s="55"/>
      <c r="E245" s="55"/>
      <c r="F245" s="42" t="s">
        <v>220</v>
      </c>
      <c r="G245" s="164" t="s">
        <v>26</v>
      </c>
      <c r="H245" s="172" t="n">
        <v>12</v>
      </c>
      <c r="I245" s="165" t="n">
        <v>3</v>
      </c>
      <c r="J245" s="165" t="n">
        <v>4</v>
      </c>
      <c r="K245" s="166" t="n">
        <v>10451.1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18" t="s">
        <v>297</v>
      </c>
      <c r="C246" s="19"/>
      <c r="D246" s="19"/>
      <c r="E246" s="19" t="s">
        <v>25</v>
      </c>
      <c r="F246" s="22"/>
      <c r="G246" s="146" t="s">
        <v>22</v>
      </c>
      <c r="H246" s="173" t="n">
        <v>4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18"/>
      <c r="C247" s="18"/>
      <c r="D247" s="18"/>
      <c r="E247" s="18"/>
      <c r="F247" s="26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55" t="s">
        <v>148</v>
      </c>
      <c r="C248" s="56" t="s">
        <v>20</v>
      </c>
      <c r="D248" s="56"/>
      <c r="E248" s="56" t="s">
        <v>21</v>
      </c>
      <c r="F248" s="38"/>
      <c r="G248" s="158" t="s">
        <v>22</v>
      </c>
      <c r="H248" s="159" t="n">
        <v>3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55"/>
      <c r="C249" s="55"/>
      <c r="D249" s="55"/>
      <c r="E249" s="55"/>
      <c r="F249" s="26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2155</v>
      </c>
      <c r="I250" s="214" t="n">
        <f aca="false">SUM(I9:I249)</f>
        <v>1364</v>
      </c>
      <c r="J250" s="214" t="n">
        <f aca="false">SUM(J9:J249)</f>
        <v>1627</v>
      </c>
      <c r="K250" s="215" t="n">
        <f aca="false">SUM(K9:K249)</f>
        <v>2807711.63</v>
      </c>
      <c r="L250" s="215" t="n">
        <f aca="false">SUM(L9:L249)</f>
        <v>2362838.94</v>
      </c>
      <c r="M250" s="215" t="n">
        <f aca="false">SUM(M9:M249)</f>
        <v>2339138.56</v>
      </c>
      <c r="N250" s="243" t="n">
        <f aca="false">SUM(N9:N249)</f>
        <v>23694.88</v>
      </c>
      <c r="O250" s="244" t="n">
        <f aca="false">SUM(O9:O249)</f>
        <v>1139</v>
      </c>
      <c r="P250" s="245" t="n">
        <f aca="false">SUM(P9:P249)</f>
        <v>4227551.49</v>
      </c>
      <c r="Q250" s="245" t="n">
        <f aca="false">SUM(Q9:Q249)</f>
        <v>3884300.96</v>
      </c>
      <c r="R250" s="245" t="n">
        <f aca="false">SUM(R9:R249)</f>
        <v>3892033.16</v>
      </c>
      <c r="S250" s="246" t="n">
        <f aca="false">SUM(S9:S249)</f>
        <v>0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1444</v>
      </c>
      <c r="H256" s="108" t="n">
        <f aca="false">SUMIF($G$9:$G$249,$F$256,I9:I249)</f>
        <v>1039</v>
      </c>
      <c r="I256" s="108" t="n">
        <f aca="false">SUMIF($G$9:$G$249,$F$256,J9:J249)</f>
        <v>1298</v>
      </c>
      <c r="J256" s="110" t="n">
        <f aca="false">SUMIF($G$9:$G$249,F256,$K$9:$K$249)</f>
        <v>2260875.75</v>
      </c>
      <c r="K256" s="110" t="n">
        <f aca="false">SUMIF($G$9:$G$249,$F$256,L9:L249)</f>
        <v>1878602.51</v>
      </c>
      <c r="L256" s="110" t="n">
        <f aca="false">SUMIF($G$9:$G$249,$F$256,M9:M249)</f>
        <v>1878602.51</v>
      </c>
      <c r="M256" s="110" t="n">
        <f aca="false">SUMIF($G$9:$G$249,$F$256,N9:N249)</f>
        <v>0</v>
      </c>
      <c r="N256" s="108" t="n">
        <f aca="false">SUMIF($G$9:$G$249,$F$256,O9:O249)</f>
        <v>768</v>
      </c>
      <c r="O256" s="110" t="n">
        <f aca="false">SUMIF($G$9:$G$249,F256,$P$9:$P$249)</f>
        <v>3229617.15</v>
      </c>
      <c r="P256" s="110" t="n">
        <f aca="false">SUMIF($G$9:$G$249,$F$256,Q9:Q249)</f>
        <v>2898106.28</v>
      </c>
      <c r="Q256" s="110" t="n">
        <f aca="false">SUMIF($G$9:$G$249,$F$256,R9:R249)</f>
        <v>2898106.28</v>
      </c>
      <c r="R256" s="110" t="n">
        <f aca="false">SUMIF($G$9:$G$249,$F$256,S9:S249)</f>
        <v>0</v>
      </c>
      <c r="S256" s="110" t="n">
        <f aca="false">Q256+L256</f>
        <v>4776708.79</v>
      </c>
      <c r="T256" s="111" t="n">
        <f aca="false">J256-L256+O256-Q256</f>
        <v>713784.110000001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459</v>
      </c>
      <c r="H257" s="108" t="n">
        <f aca="false">SUMIF($G$9:$G$249,$F$257,I9:I249)</f>
        <v>185</v>
      </c>
      <c r="I257" s="108" t="n">
        <f aca="false">SUMIF($G$9:$G$249,$F$257,J9:J249)</f>
        <v>189</v>
      </c>
      <c r="J257" s="110" t="n">
        <f aca="false">SUMIF($G$9:$G$249,F257,$K$9:$K$249)</f>
        <v>372265.38</v>
      </c>
      <c r="K257" s="110" t="n">
        <f aca="false">SUMIF($G$9:$G$249,$F$257,L9:L249)</f>
        <v>309665.93</v>
      </c>
      <c r="L257" s="110" t="n">
        <f aca="false">SUMIF($G$9:$G$249,$F$257,M9:M249)</f>
        <v>295734.65</v>
      </c>
      <c r="M257" s="110" t="n">
        <f aca="false">SUMIF($G$9:$G$249,$F$257,N9:N249)</f>
        <v>13925.78</v>
      </c>
      <c r="N257" s="108" t="n">
        <f aca="false">SUMIF($G$9:$G$249,$F$257,O9:O249)</f>
        <v>271</v>
      </c>
      <c r="O257" s="110" t="n">
        <f aca="false">SUMIF($G$9:$G$249,F257,$P$9:$P$249)</f>
        <v>789945.29</v>
      </c>
      <c r="P257" s="110" t="n">
        <f aca="false">SUMIF($G$9:$G$249,$F$257,Q9:Q249)</f>
        <v>778205.63</v>
      </c>
      <c r="Q257" s="110" t="n">
        <f aca="false">SUMIF($G$9:$G$249,$F$257,R9:R249)</f>
        <v>785937.83</v>
      </c>
      <c r="R257" s="110" t="n">
        <f aca="false">SUMIF($G$9:$G$249,$F$257,S9:S249)</f>
        <v>0</v>
      </c>
      <c r="S257" s="110" t="n">
        <f aca="false">Q257+L257</f>
        <v>1081672.48</v>
      </c>
      <c r="T257" s="111" t="n">
        <f aca="false">J257-L257+O257-Q257</f>
        <v>80538.1900000001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252</v>
      </c>
      <c r="H258" s="108" t="n">
        <f aca="false">SUMIF($G$9:$G$249,$F$258,I9:I249)</f>
        <v>140</v>
      </c>
      <c r="I258" s="108" t="n">
        <f aca="false">SUMIF($G$9:$G$249,$F$258,J9:J249)</f>
        <v>140</v>
      </c>
      <c r="J258" s="110" t="n">
        <f aca="false">SUMIF($G$9:$G$249,F258,$K$9:$K$249)</f>
        <v>174570.5</v>
      </c>
      <c r="K258" s="110" t="n">
        <f aca="false">SUMIF($G$9:$G$249,$F$258,L9:L249)</f>
        <v>174570.5</v>
      </c>
      <c r="L258" s="110" t="n">
        <f aca="false">SUMIF($G$9:$G$249,$F$258,M9:M249)</f>
        <v>164801.4</v>
      </c>
      <c r="M258" s="110" t="n">
        <f aca="false">SUMIF($G$9:$G$249,$F$258,N9:N249)</f>
        <v>9769.1</v>
      </c>
      <c r="N258" s="108" t="n">
        <f aca="false">SUMIF($G$9:$G$249,$F$258,O9:O249)</f>
        <v>100</v>
      </c>
      <c r="O258" s="110" t="n">
        <f aca="false">SUMIF($G$9:$G$249,F258,$P$9:$P$249)</f>
        <v>207989.05</v>
      </c>
      <c r="P258" s="110" t="n">
        <f aca="false">SUMIF($G$9:$G$249,$F$258,Q9:Q249)</f>
        <v>207989.05</v>
      </c>
      <c r="Q258" s="110" t="n">
        <f aca="false">SUMIF($G$9:$G$249,$F$258,R9:R249)</f>
        <v>207989.05</v>
      </c>
      <c r="R258" s="110" t="n">
        <f aca="false">SUMIF($G$9:$G$249,$F$258,S9:S249)</f>
        <v>0</v>
      </c>
      <c r="S258" s="110" t="n">
        <f aca="false">Q258+L258</f>
        <v>372790.45</v>
      </c>
      <c r="T258" s="111" t="n">
        <f aca="false">J258-L258+O258-Q258</f>
        <v>9769.10000000001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2155</v>
      </c>
      <c r="H259" s="216" t="n">
        <f aca="false">H258+H257+H256</f>
        <v>1364</v>
      </c>
      <c r="I259" s="216" t="n">
        <f aca="false">I258+I257+I256</f>
        <v>1627</v>
      </c>
      <c r="J259" s="217" t="n">
        <f aca="false">J258+J257+J256</f>
        <v>2807711.63</v>
      </c>
      <c r="K259" s="217" t="n">
        <f aca="false">K258+K257+K256</f>
        <v>2362838.94</v>
      </c>
      <c r="L259" s="217" t="n">
        <f aca="false">L258+L257+L256</f>
        <v>2339138.56</v>
      </c>
      <c r="M259" s="217" t="n">
        <f aca="false">M258+M257+M256</f>
        <v>23694.88</v>
      </c>
      <c r="N259" s="216" t="n">
        <f aca="false">N258+N257+N256</f>
        <v>1139</v>
      </c>
      <c r="O259" s="217" t="n">
        <f aca="false">O258+O257+O256</f>
        <v>4227551.49</v>
      </c>
      <c r="P259" s="217" t="n">
        <f aca="false">P258+P257+P256</f>
        <v>3884300.96</v>
      </c>
      <c r="Q259" s="217" t="n">
        <f aca="false">Q258+Q257+Q256</f>
        <v>3892033.16</v>
      </c>
      <c r="R259" s="217" t="n">
        <f aca="false">R258+R257+R256</f>
        <v>0</v>
      </c>
      <c r="S259" s="217" t="n">
        <f aca="false">S258+S257+S256</f>
        <v>6231171.72</v>
      </c>
      <c r="T259" s="217" t="n">
        <f aca="false">T258+T257+T256</f>
        <v>804091.400000001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1444</v>
      </c>
      <c r="H320" s="247" t="n">
        <v>1039</v>
      </c>
      <c r="I320" s="247" t="n">
        <v>1298</v>
      </c>
      <c r="J320" s="0" t="n">
        <v>2260875.75</v>
      </c>
      <c r="K320" s="236"/>
      <c r="N320" s="0" t="n">
        <v>768</v>
      </c>
      <c r="O320" s="0" t="n">
        <v>3229617.15</v>
      </c>
    </row>
    <row r="321" customFormat="false" ht="15" hidden="false" customHeight="false" outlineLevel="0" collapsed="false">
      <c r="G321" s="221" t="n">
        <f aca="false">G256-G320</f>
        <v>0</v>
      </c>
      <c r="H321" s="221" t="n">
        <f aca="false">H256-H320</f>
        <v>0</v>
      </c>
      <c r="I321" s="221" t="n">
        <f aca="false">I256-I320</f>
        <v>0</v>
      </c>
      <c r="J321" s="229" t="n">
        <f aca="false">J256-J320</f>
        <v>0</v>
      </c>
      <c r="K321" s="236"/>
      <c r="N321" s="221" t="n">
        <f aca="false">N256-N320</f>
        <v>0</v>
      </c>
      <c r="O321" s="229" t="n">
        <f aca="false">O256-O320</f>
        <v>0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27</v>
      </c>
      <c r="I11" s="160" t="n">
        <v>18</v>
      </c>
      <c r="J11" s="160" t="n">
        <v>32</v>
      </c>
      <c r="K11" s="161" t="n">
        <v>71801.93</v>
      </c>
      <c r="L11" s="161" t="n">
        <f aca="false">M11+N11</f>
        <v>71801.93</v>
      </c>
      <c r="M11" s="161" t="n">
        <v>71801.93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6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31</v>
      </c>
      <c r="I13" s="148" t="n">
        <v>25</v>
      </c>
      <c r="J13" s="148" t="n">
        <v>37</v>
      </c>
      <c r="K13" s="149" t="n">
        <v>56264.78</v>
      </c>
      <c r="L13" s="149" t="n">
        <f aca="false">M13+N13</f>
        <v>53490.39</v>
      </c>
      <c r="M13" s="149" t="n">
        <v>53490.39</v>
      </c>
      <c r="N13" s="249"/>
      <c r="O13" s="228" t="n">
        <v>7</v>
      </c>
      <c r="P13" s="161" t="n">
        <v>21729.06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11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14</v>
      </c>
      <c r="J21" s="160" t="n">
        <v>17</v>
      </c>
      <c r="K21" s="161" t="n">
        <v>23179.37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28</v>
      </c>
      <c r="I23" s="160" t="n">
        <v>24</v>
      </c>
      <c r="J23" s="160" t="n">
        <v>39</v>
      </c>
      <c r="K23" s="161" t="n">
        <v>56118.65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26</v>
      </c>
      <c r="I25" s="148" t="n">
        <v>21</v>
      </c>
      <c r="J25" s="148" t="n">
        <v>21</v>
      </c>
      <c r="K25" s="148" t="n">
        <v>8879.88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25</v>
      </c>
      <c r="J27" s="160" t="n">
        <v>39</v>
      </c>
      <c r="K27" s="161" t="n">
        <v>73966.8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4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7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12</v>
      </c>
      <c r="I34" s="165" t="n">
        <v>3</v>
      </c>
      <c r="J34" s="165" t="n">
        <v>3</v>
      </c>
      <c r="K34" s="166" t="n">
        <v>6519.4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18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11</v>
      </c>
      <c r="I38" s="154" t="n">
        <v>8</v>
      </c>
      <c r="J38" s="154" t="n">
        <v>8</v>
      </c>
      <c r="K38" s="155" t="n">
        <v>12142.35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17</v>
      </c>
      <c r="I43" s="160" t="n">
        <v>16</v>
      </c>
      <c r="J43" s="160" t="n">
        <v>21</v>
      </c>
      <c r="K43" s="161" t="n">
        <v>45643.98</v>
      </c>
      <c r="L43" s="161" t="n">
        <f aca="false">M43+N43</f>
        <v>36053.18</v>
      </c>
      <c r="M43" s="161" t="n">
        <v>36053.18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7</v>
      </c>
      <c r="P46" s="166" t="n">
        <v>19654.4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11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6</v>
      </c>
      <c r="P48" s="155" t="n">
        <v>17663.63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59</v>
      </c>
      <c r="I53" s="148" t="n">
        <v>52</v>
      </c>
      <c r="J53" s="148" t="n">
        <v>53</v>
      </c>
      <c r="K53" s="149" t="n">
        <v>66041.48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29</v>
      </c>
      <c r="I55" s="160" t="n">
        <v>23</v>
      </c>
      <c r="J55" s="160" t="n">
        <v>32</v>
      </c>
      <c r="K55" s="161" t="n">
        <v>59571.37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7</v>
      </c>
      <c r="I57" s="160" t="n">
        <v>3</v>
      </c>
      <c r="J57" s="160" t="n">
        <v>4</v>
      </c>
      <c r="K57" s="161" t="n">
        <v>6325.52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6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7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7</v>
      </c>
      <c r="I63" s="148" t="n">
        <v>2</v>
      </c>
      <c r="J63" s="148" t="n">
        <v>2</v>
      </c>
      <c r="K63" s="149" t="n">
        <v>881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8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14</v>
      </c>
      <c r="I65" s="160" t="n">
        <v>14</v>
      </c>
      <c r="J65" s="160" t="n">
        <v>18</v>
      </c>
      <c r="K65" s="161" t="n">
        <v>36724.29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9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27</v>
      </c>
      <c r="I71" s="148" t="n">
        <v>20</v>
      </c>
      <c r="J71" s="148" t="n">
        <v>23</v>
      </c>
      <c r="K71" s="149" t="n">
        <v>49173.24</v>
      </c>
      <c r="L71" s="149" t="n">
        <f aca="false">M71+N71</f>
        <v>49173.24</v>
      </c>
      <c r="M71" s="149" t="n">
        <v>35297.27</v>
      </c>
      <c r="N71" s="190" t="n">
        <v>13875.97</v>
      </c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31</v>
      </c>
      <c r="I73" s="160" t="n">
        <v>26</v>
      </c>
      <c r="J73" s="160" t="n">
        <v>31</v>
      </c>
      <c r="K73" s="161" t="n">
        <v>67039.07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1</v>
      </c>
      <c r="J74" s="165" t="n">
        <v>1</v>
      </c>
      <c r="K74" s="166" t="n">
        <v>1012.55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12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15</v>
      </c>
      <c r="I81" s="148" t="n">
        <v>7</v>
      </c>
      <c r="J81" s="148" t="n">
        <v>7</v>
      </c>
      <c r="K81" s="149" t="n">
        <v>30516.45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25</v>
      </c>
      <c r="I82" s="154" t="n">
        <v>14</v>
      </c>
      <c r="J82" s="154" t="n">
        <v>14</v>
      </c>
      <c r="K82" s="155" t="n">
        <v>22561.12</v>
      </c>
      <c r="L82" s="155" t="n">
        <v>22561.12</v>
      </c>
      <c r="M82" s="155" t="n">
        <v>22561.12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5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1</v>
      </c>
      <c r="J86" s="165" t="n">
        <v>1</v>
      </c>
      <c r="K86" s="166" t="n">
        <v>1841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11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12</v>
      </c>
      <c r="P89" s="149" t="n">
        <v>49906.05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33</v>
      </c>
      <c r="J90" s="165" t="n">
        <v>33</v>
      </c>
      <c r="K90" s="166" t="n">
        <v>41149.9</v>
      </c>
      <c r="L90" s="166" t="n">
        <v>41149.9</v>
      </c>
      <c r="M90" s="166" t="n">
        <v>41149.9</v>
      </c>
      <c r="N90" s="156"/>
      <c r="O90" s="168" t="n">
        <v>35</v>
      </c>
      <c r="P90" s="166" t="n">
        <v>71364.22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8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9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13</v>
      </c>
      <c r="I93" s="148" t="n">
        <v>5</v>
      </c>
      <c r="J93" s="148" t="n">
        <v>6</v>
      </c>
      <c r="K93" s="149" t="n">
        <v>14215.51</v>
      </c>
      <c r="L93" s="149" t="n">
        <f aca="false">M93+N93</f>
        <v>14215.51</v>
      </c>
      <c r="M93" s="149" t="n">
        <v>14215.51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9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10</v>
      </c>
      <c r="I97" s="160" t="n">
        <v>8</v>
      </c>
      <c r="J97" s="160" t="n">
        <v>8</v>
      </c>
      <c r="K97" s="161" t="n">
        <v>13173.07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8</v>
      </c>
      <c r="I98" s="165" t="n">
        <v>3</v>
      </c>
      <c r="J98" s="165" t="n">
        <v>3</v>
      </c>
      <c r="K98" s="166" t="n">
        <v>4052.6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6</v>
      </c>
      <c r="I99" s="148" t="n">
        <v>4</v>
      </c>
      <c r="J99" s="148" t="n">
        <v>5</v>
      </c>
      <c r="K99" s="149" t="n">
        <v>9768.84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31</v>
      </c>
      <c r="K101" s="161" t="n">
        <v>62282.97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22</v>
      </c>
      <c r="I103" s="148" t="n">
        <v>16</v>
      </c>
      <c r="J103" s="148" t="n">
        <v>16</v>
      </c>
      <c r="K103" s="149" t="n">
        <v>13275.45</v>
      </c>
      <c r="L103" s="149" t="n">
        <f aca="false">M103+N103</f>
        <v>12723.15</v>
      </c>
      <c r="M103" s="149" t="n">
        <v>12723.15</v>
      </c>
      <c r="N103" s="190"/>
      <c r="O103" s="151" t="n">
        <v>2</v>
      </c>
      <c r="P103" s="149" t="n">
        <v>12380.09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11</v>
      </c>
      <c r="J105" s="148" t="n">
        <v>13</v>
      </c>
      <c r="K105" s="149" t="n">
        <v>11054.79</v>
      </c>
      <c r="L105" s="149" t="n">
        <f aca="false">M105+N105</f>
        <v>11054.79</v>
      </c>
      <c r="M105" s="149" t="n">
        <v>11054.79</v>
      </c>
      <c r="N105" s="190"/>
      <c r="O105" s="151" t="n">
        <v>8</v>
      </c>
      <c r="P105" s="149" t="n">
        <v>47130.25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6038.2</v>
      </c>
      <c r="M107" s="155" t="n">
        <v>6038.2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9</v>
      </c>
      <c r="I108" s="160" t="n">
        <v>6</v>
      </c>
      <c r="J108" s="160" t="n">
        <v>7</v>
      </c>
      <c r="K108" s="161" t="n">
        <v>13195.1</v>
      </c>
      <c r="L108" s="161" t="n">
        <f aca="false">M108+N108</f>
        <v>11123.42</v>
      </c>
      <c r="M108" s="161" t="n">
        <v>11123.42</v>
      </c>
      <c r="N108" s="190"/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31</v>
      </c>
      <c r="I112" s="148" t="n">
        <v>27</v>
      </c>
      <c r="J112" s="148" t="n">
        <v>35</v>
      </c>
      <c r="K112" s="149" t="n">
        <v>48977.66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4</v>
      </c>
      <c r="J113" s="165" t="n">
        <v>4</v>
      </c>
      <c r="K113" s="166" t="n">
        <v>11398.05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33</v>
      </c>
      <c r="I118" s="160" t="n">
        <v>24</v>
      </c>
      <c r="J118" s="160" t="n">
        <v>34</v>
      </c>
      <c r="K118" s="161" t="n">
        <v>61737.14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8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34</v>
      </c>
      <c r="I122" s="148" t="n">
        <v>24</v>
      </c>
      <c r="J122" s="148" t="n">
        <v>30</v>
      </c>
      <c r="K122" s="149" t="n">
        <v>37963.88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26</v>
      </c>
      <c r="I123" s="165" t="n">
        <v>16</v>
      </c>
      <c r="J123" s="165" t="n">
        <v>16</v>
      </c>
      <c r="K123" s="166" t="n">
        <v>16611.14</v>
      </c>
      <c r="L123" s="166" t="n">
        <v>16611.14</v>
      </c>
      <c r="M123" s="166" t="n">
        <v>16611.14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28</v>
      </c>
      <c r="I124" s="148" t="n">
        <v>19</v>
      </c>
      <c r="J124" s="148" t="n">
        <v>26</v>
      </c>
      <c r="K124" s="149" t="n">
        <v>120678.58</v>
      </c>
      <c r="L124" s="149" t="n">
        <f aca="false">M124+N124</f>
        <v>78634.92</v>
      </c>
      <c r="M124" s="149" t="n">
        <v>78634.92</v>
      </c>
      <c r="N124" s="190"/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34</v>
      </c>
      <c r="I126" s="160" t="n">
        <v>14</v>
      </c>
      <c r="J126" s="160" t="n">
        <v>15</v>
      </c>
      <c r="K126" s="161" t="n">
        <v>50248.5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7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7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8</v>
      </c>
      <c r="J135" s="148" t="n">
        <v>9</v>
      </c>
      <c r="K135" s="149" t="n">
        <v>18559.13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21</v>
      </c>
      <c r="I136" s="165" t="n">
        <v>14</v>
      </c>
      <c r="J136" s="165" t="n">
        <v>14</v>
      </c>
      <c r="K136" s="166" t="n">
        <v>13017.85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33</v>
      </c>
      <c r="I137" s="148" t="n">
        <v>26</v>
      </c>
      <c r="J137" s="148" t="n">
        <v>34</v>
      </c>
      <c r="K137" s="149" t="n">
        <v>92848.73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14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12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27</v>
      </c>
      <c r="I142" s="160" t="n">
        <v>20</v>
      </c>
      <c r="J142" s="160" t="n">
        <v>22</v>
      </c>
      <c r="K142" s="161" t="n">
        <v>11923.35</v>
      </c>
      <c r="L142" s="161" t="n">
        <f aca="false">M142+N142</f>
        <v>7606.2</v>
      </c>
      <c r="M142" s="161" t="n">
        <v>7606.2</v>
      </c>
      <c r="N142" s="190"/>
      <c r="O142" s="163" t="n">
        <v>25</v>
      </c>
      <c r="P142" s="161" t="n">
        <v>56744.77</v>
      </c>
      <c r="Q142" s="161" t="n">
        <f aca="false">R142+S142</f>
        <v>48668.87</v>
      </c>
      <c r="R142" s="161" t="n">
        <v>48668.87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13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7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23</v>
      </c>
      <c r="I147" s="160" t="n">
        <v>18</v>
      </c>
      <c r="J147" s="160" t="n">
        <v>19</v>
      </c>
      <c r="K147" s="161" t="n">
        <v>23557.5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6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6</v>
      </c>
      <c r="I149" s="148" t="n">
        <v>4</v>
      </c>
      <c r="J149" s="148" t="n">
        <v>5</v>
      </c>
      <c r="K149" s="149" t="n">
        <v>10058.94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 t="n">
        <v>2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42" t="s">
        <v>281</v>
      </c>
      <c r="G154" s="164" t="s">
        <v>26</v>
      </c>
      <c r="H154" s="175" t="n">
        <v>3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304</v>
      </c>
      <c r="C155" s="19"/>
      <c r="D155" s="19"/>
      <c r="E155" s="19" t="s">
        <v>25</v>
      </c>
      <c r="F155" s="20"/>
      <c r="G155" s="21" t="s">
        <v>22</v>
      </c>
      <c r="H155" s="21" t="n">
        <v>1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105</v>
      </c>
      <c r="C157" s="35" t="s">
        <v>33</v>
      </c>
      <c r="D157" s="35" t="s">
        <v>106</v>
      </c>
      <c r="E157" s="35" t="s">
        <v>107</v>
      </c>
      <c r="F157" s="36"/>
      <c r="G157" s="158" t="s">
        <v>22</v>
      </c>
      <c r="H157" s="169" t="n">
        <v>8</v>
      </c>
      <c r="I157" s="160" t="n">
        <v>3</v>
      </c>
      <c r="J157" s="160" t="n">
        <v>3</v>
      </c>
      <c r="K157" s="161" t="n">
        <v>2479.18</v>
      </c>
      <c r="L157" s="161" t="n">
        <f aca="false">M157+N157</f>
        <v>1617.46</v>
      </c>
      <c r="M157" s="161" t="n">
        <v>1617.46</v>
      </c>
      <c r="N157" s="190"/>
      <c r="O157" s="163" t="n">
        <v>13</v>
      </c>
      <c r="P157" s="161" t="n">
        <v>57322.59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194</v>
      </c>
      <c r="G158" s="164" t="s">
        <v>26</v>
      </c>
      <c r="H158" s="153" t="n">
        <v>2</v>
      </c>
      <c r="I158" s="165"/>
      <c r="J158" s="165"/>
      <c r="K158" s="166"/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73" t="s">
        <v>108</v>
      </c>
      <c r="C159" s="74" t="s">
        <v>33</v>
      </c>
      <c r="D159" s="74" t="s">
        <v>109</v>
      </c>
      <c r="E159" s="74" t="s">
        <v>25</v>
      </c>
      <c r="F159" s="20"/>
      <c r="G159" s="146" t="s">
        <v>22</v>
      </c>
      <c r="H159" s="159" t="n">
        <v>13</v>
      </c>
      <c r="I159" s="148" t="n">
        <v>11</v>
      </c>
      <c r="J159" s="148" t="n">
        <v>13</v>
      </c>
      <c r="K159" s="149" t="n">
        <v>32078.76</v>
      </c>
      <c r="L159" s="149" t="n">
        <f aca="false">M159+N159</f>
        <v>21755.92</v>
      </c>
      <c r="M159" s="149" t="n">
        <v>21755.92</v>
      </c>
      <c r="N159" s="190"/>
      <c r="O159" s="151" t="n">
        <v>23</v>
      </c>
      <c r="P159" s="149" t="n">
        <v>57535.32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73"/>
      <c r="C160" s="73"/>
      <c r="D160" s="73"/>
      <c r="E160" s="73"/>
      <c r="F160" s="4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 t="s">
        <v>110</v>
      </c>
      <c r="C161" s="19" t="s">
        <v>33</v>
      </c>
      <c r="D161" s="19" t="s">
        <v>111</v>
      </c>
      <c r="E161" s="19" t="s">
        <v>25</v>
      </c>
      <c r="F161" s="20"/>
      <c r="G161" s="146" t="s">
        <v>22</v>
      </c>
      <c r="H161" s="159" t="n">
        <v>31</v>
      </c>
      <c r="I161" s="148" t="n">
        <v>25</v>
      </c>
      <c r="J161" s="193" t="n">
        <v>31</v>
      </c>
      <c r="K161" s="149" t="n">
        <v>38363.42</v>
      </c>
      <c r="L161" s="149" t="n">
        <f aca="false">M161+N161</f>
        <v>25113.93</v>
      </c>
      <c r="M161" s="149" t="n">
        <v>25113.93</v>
      </c>
      <c r="N161" s="190"/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4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40" t="s">
        <v>282</v>
      </c>
      <c r="C163" s="19" t="s">
        <v>33</v>
      </c>
      <c r="D163" s="19" t="s">
        <v>283</v>
      </c>
      <c r="E163" s="19" t="s">
        <v>284</v>
      </c>
      <c r="F163" s="20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40"/>
      <c r="C164" s="19"/>
      <c r="D164" s="19"/>
      <c r="E164" s="19"/>
      <c r="F164" s="26" t="s">
        <v>285</v>
      </c>
      <c r="G164" s="152" t="s">
        <v>23</v>
      </c>
      <c r="H164" s="174" t="n">
        <v>6</v>
      </c>
      <c r="I164" s="154" t="n">
        <v>2</v>
      </c>
      <c r="J164" s="154" t="n">
        <v>2</v>
      </c>
      <c r="K164" s="242" t="n">
        <v>1472.8</v>
      </c>
      <c r="L164" s="242" t="n">
        <f aca="false">M164+N164</f>
        <v>1472.8</v>
      </c>
      <c r="M164" s="242" t="n">
        <v>1472.8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34" t="s">
        <v>112</v>
      </c>
      <c r="C165" s="35" t="s">
        <v>20</v>
      </c>
      <c r="D165" s="35" t="s">
        <v>197</v>
      </c>
      <c r="E165" s="35" t="s">
        <v>25</v>
      </c>
      <c r="F165" s="36"/>
      <c r="G165" s="158" t="s">
        <v>22</v>
      </c>
      <c r="H165" s="159" t="n">
        <v>23</v>
      </c>
      <c r="I165" s="160" t="n">
        <v>23</v>
      </c>
      <c r="J165" s="160" t="n">
        <v>32</v>
      </c>
      <c r="K165" s="140" t="n">
        <v>82869.99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26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18" t="s">
        <v>113</v>
      </c>
      <c r="C167" s="19" t="s">
        <v>20</v>
      </c>
      <c r="D167" s="19"/>
      <c r="E167" s="19" t="s">
        <v>31</v>
      </c>
      <c r="F167" s="36"/>
      <c r="G167" s="146" t="s">
        <v>22</v>
      </c>
      <c r="H167" s="159" t="n">
        <v>16</v>
      </c>
      <c r="I167" s="148" t="n">
        <v>13</v>
      </c>
      <c r="J167" s="148" t="n">
        <v>16</v>
      </c>
      <c r="K167" s="149" t="n">
        <v>32741.22</v>
      </c>
      <c r="L167" s="149" t="n">
        <f aca="false">M167+N167</f>
        <v>32741.22</v>
      </c>
      <c r="M167" s="149" t="n">
        <v>32741.22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57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34" t="s">
        <v>114</v>
      </c>
      <c r="C169" s="35" t="s">
        <v>20</v>
      </c>
      <c r="D169" s="95"/>
      <c r="E169" s="35" t="s">
        <v>25</v>
      </c>
      <c r="F169" s="71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4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 t="s">
        <v>243</v>
      </c>
      <c r="C171" s="219"/>
      <c r="D171" s="19"/>
      <c r="E171" s="19"/>
      <c r="F171" s="20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4062.29</v>
      </c>
      <c r="M171" s="149" t="n">
        <v>4062.29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 t="s">
        <v>275</v>
      </c>
      <c r="G172" s="152" t="s">
        <v>26</v>
      </c>
      <c r="H172" s="174" t="n">
        <v>7</v>
      </c>
      <c r="I172" s="154" t="n">
        <v>2</v>
      </c>
      <c r="J172" s="154" t="n">
        <v>2</v>
      </c>
      <c r="K172" s="155" t="n">
        <v>5061.94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200</v>
      </c>
      <c r="C173" s="220"/>
      <c r="D173" s="56"/>
      <c r="E173" s="56"/>
      <c r="F173" s="36"/>
      <c r="G173" s="158" t="s">
        <v>22</v>
      </c>
      <c r="H173" s="159" t="n">
        <v>25</v>
      </c>
      <c r="I173" s="160" t="n">
        <v>24</v>
      </c>
      <c r="J173" s="160" t="n">
        <v>29</v>
      </c>
      <c r="K173" s="161" t="n">
        <v>62161.52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57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 t="s">
        <v>115</v>
      </c>
      <c r="C175" s="56" t="s">
        <v>20</v>
      </c>
      <c r="D175" s="56"/>
      <c r="E175" s="56" t="s">
        <v>116</v>
      </c>
      <c r="F175" s="36"/>
      <c r="G175" s="158" t="s">
        <v>22</v>
      </c>
      <c r="H175" s="159" t="n">
        <v>20</v>
      </c>
      <c r="I175" s="160" t="n">
        <v>15</v>
      </c>
      <c r="J175" s="160" t="n">
        <v>17</v>
      </c>
      <c r="K175" s="161" t="n">
        <v>15676.78</v>
      </c>
      <c r="L175" s="161" t="n">
        <f aca="false">M175+N175</f>
        <v>15676.78</v>
      </c>
      <c r="M175" s="161" t="n">
        <v>15676.78</v>
      </c>
      <c r="N175" s="190"/>
      <c r="O175" s="163" t="n">
        <v>20</v>
      </c>
      <c r="P175" s="161" t="n">
        <v>48729.23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55"/>
      <c r="C176" s="55"/>
      <c r="D176" s="55"/>
      <c r="E176" s="55"/>
      <c r="F176" s="42" t="s">
        <v>201</v>
      </c>
      <c r="G176" s="164" t="s">
        <v>26</v>
      </c>
      <c r="H176" s="172" t="n">
        <v>11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18" t="s">
        <v>157</v>
      </c>
      <c r="C177" s="19"/>
      <c r="D177" s="19"/>
      <c r="E177" s="127"/>
      <c r="F177" s="22"/>
      <c r="G177" s="146" t="s">
        <v>22</v>
      </c>
      <c r="H177" s="147" t="n">
        <v>12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18"/>
      <c r="C178" s="18"/>
      <c r="D178" s="18"/>
      <c r="E178" s="127"/>
      <c r="F178" s="26" t="s">
        <v>202</v>
      </c>
      <c r="G178" s="152" t="s">
        <v>26</v>
      </c>
      <c r="H178" s="176" t="n">
        <v>2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34" t="s">
        <v>117</v>
      </c>
      <c r="C179" s="35" t="s">
        <v>33</v>
      </c>
      <c r="D179" s="35" t="s">
        <v>118</v>
      </c>
      <c r="E179" s="74" t="s">
        <v>25</v>
      </c>
      <c r="F179" s="89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34"/>
      <c r="C180" s="34"/>
      <c r="D180" s="34"/>
      <c r="E180" s="34"/>
      <c r="F180" s="4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34"/>
      <c r="C181" s="34"/>
      <c r="D181" s="34"/>
      <c r="E181" s="34"/>
      <c r="F181" s="4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119</v>
      </c>
      <c r="C182" s="19" t="s">
        <v>20</v>
      </c>
      <c r="D182" s="19"/>
      <c r="E182" s="19" t="s">
        <v>25</v>
      </c>
      <c r="F182" s="20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203</v>
      </c>
      <c r="G183" s="164" t="s">
        <v>26</v>
      </c>
      <c r="H183" s="175" t="n">
        <v>5</v>
      </c>
      <c r="I183" s="165" t="n">
        <v>2</v>
      </c>
      <c r="J183" s="165" t="n">
        <v>2</v>
      </c>
      <c r="K183" s="166" t="n">
        <v>1812.59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3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225</v>
      </c>
      <c r="C184" s="19"/>
      <c r="D184" s="19"/>
      <c r="E184" s="19"/>
      <c r="F184" s="20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18"/>
      <c r="C185" s="18"/>
      <c r="D185" s="18"/>
      <c r="E185" s="18"/>
      <c r="F185" s="26" t="s">
        <v>244</v>
      </c>
      <c r="G185" s="152" t="s">
        <v>23</v>
      </c>
      <c r="H185" s="176" t="n">
        <v>16</v>
      </c>
      <c r="I185" s="154" t="n">
        <v>12</v>
      </c>
      <c r="J185" s="154" t="n">
        <v>12</v>
      </c>
      <c r="K185" s="155" t="n">
        <v>17230</v>
      </c>
      <c r="L185" s="155" t="n">
        <v>17230</v>
      </c>
      <c r="M185" s="155" t="n">
        <v>17230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55" t="s">
        <v>120</v>
      </c>
      <c r="C186" s="56" t="s">
        <v>20</v>
      </c>
      <c r="D186" s="56"/>
      <c r="E186" s="56" t="s">
        <v>25</v>
      </c>
      <c r="F186" s="36"/>
      <c r="G186" s="158" t="s">
        <v>22</v>
      </c>
      <c r="H186" s="169"/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55"/>
      <c r="C187" s="55"/>
      <c r="D187" s="55"/>
      <c r="E187" s="55"/>
      <c r="F187" s="71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18" t="s">
        <v>158</v>
      </c>
      <c r="C188" s="74"/>
      <c r="D188" s="56" t="s">
        <v>204</v>
      </c>
      <c r="E188" s="74"/>
      <c r="F188" s="53"/>
      <c r="G188" s="146" t="s">
        <v>22</v>
      </c>
      <c r="H188" s="195" t="n">
        <v>1</v>
      </c>
      <c r="I188" s="196"/>
      <c r="J188" s="196"/>
      <c r="K188" s="197"/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18"/>
      <c r="C189" s="56"/>
      <c r="D189" s="56"/>
      <c r="E189" s="56"/>
      <c r="F189" s="138" t="s">
        <v>205</v>
      </c>
      <c r="G189" s="152" t="s">
        <v>26</v>
      </c>
      <c r="H189" s="153" t="n">
        <v>7</v>
      </c>
      <c r="I189" s="200" t="n">
        <v>4</v>
      </c>
      <c r="J189" s="200" t="n">
        <v>4</v>
      </c>
      <c r="K189" s="201" t="n">
        <v>6580.06</v>
      </c>
      <c r="L189" s="201" t="n">
        <f aca="false">M189+N189</f>
        <v>1104.6</v>
      </c>
      <c r="M189" s="201" t="n">
        <f aca="false">1104.6</f>
        <v>1104.6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34" t="s">
        <v>152</v>
      </c>
      <c r="C190" s="35" t="s">
        <v>20</v>
      </c>
      <c r="D190" s="35"/>
      <c r="E190" s="35" t="s">
        <v>25</v>
      </c>
      <c r="F190" s="36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206</v>
      </c>
      <c r="G191" s="164" t="s">
        <v>26</v>
      </c>
      <c r="H191" s="171" t="n">
        <v>4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18" t="s">
        <v>122</v>
      </c>
      <c r="C192" s="19" t="s">
        <v>20</v>
      </c>
      <c r="D192" s="19"/>
      <c r="E192" s="19" t="s">
        <v>116</v>
      </c>
      <c r="F192" s="20"/>
      <c r="G192" s="146" t="s">
        <v>22</v>
      </c>
      <c r="H192" s="159" t="n">
        <v>41</v>
      </c>
      <c r="I192" s="148" t="n">
        <v>39</v>
      </c>
      <c r="J192" s="148" t="n">
        <v>56</v>
      </c>
      <c r="K192" s="149" t="n">
        <v>89688.59</v>
      </c>
      <c r="L192" s="149" t="n">
        <f aca="false">M192+N192</f>
        <v>89688.59</v>
      </c>
      <c r="M192" s="149" t="n">
        <v>76981</v>
      </c>
      <c r="N192" s="190" t="n">
        <v>12707.59</v>
      </c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125821.41</v>
      </c>
      <c r="S192" s="190" t="n">
        <v>10347.08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123</v>
      </c>
      <c r="C194" s="35" t="s">
        <v>20</v>
      </c>
      <c r="D194" s="35"/>
      <c r="E194" s="35" t="s">
        <v>25</v>
      </c>
      <c r="F194" s="36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207</v>
      </c>
      <c r="G195" s="164" t="s">
        <v>26</v>
      </c>
      <c r="H195" s="153" t="n">
        <v>8</v>
      </c>
      <c r="I195" s="165" t="n">
        <v>3</v>
      </c>
      <c r="J195" s="165" t="n">
        <v>3</v>
      </c>
      <c r="K195" s="166" t="n">
        <v>3313.8</v>
      </c>
      <c r="L195" s="161" t="n">
        <f aca="false">M195+N195</f>
        <v>2761.5</v>
      </c>
      <c r="M195" s="166" t="n">
        <f aca="false">2761.5</f>
        <v>2761.5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124</v>
      </c>
      <c r="C196" s="19" t="s">
        <v>20</v>
      </c>
      <c r="D196" s="19"/>
      <c r="E196" s="19" t="s">
        <v>88</v>
      </c>
      <c r="F196" s="20"/>
      <c r="G196" s="146" t="s">
        <v>22</v>
      </c>
      <c r="H196" s="159" t="n">
        <v>22</v>
      </c>
      <c r="I196" s="148" t="n">
        <v>14</v>
      </c>
      <c r="J196" s="148" t="n">
        <v>15</v>
      </c>
      <c r="K196" s="149" t="n">
        <v>27094.04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4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208</v>
      </c>
      <c r="C198" s="19"/>
      <c r="D198" s="19"/>
      <c r="E198" s="127"/>
      <c r="F198" s="20"/>
      <c r="G198" s="146" t="s">
        <v>22</v>
      </c>
      <c r="H198" s="173" t="n">
        <v>48</v>
      </c>
      <c r="I198" s="148" t="n">
        <v>29</v>
      </c>
      <c r="J198" s="148" t="n">
        <v>29</v>
      </c>
      <c r="K198" s="149" t="n">
        <v>35413.49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28"/>
      <c r="F199" s="26" t="s">
        <v>246</v>
      </c>
      <c r="G199" s="152" t="s">
        <v>23</v>
      </c>
      <c r="H199" s="174" t="n">
        <v>14</v>
      </c>
      <c r="I199" s="154" t="n">
        <v>7</v>
      </c>
      <c r="J199" s="154" t="n">
        <v>7</v>
      </c>
      <c r="K199" s="155" t="n">
        <v>6375.01</v>
      </c>
      <c r="L199" s="155" t="n">
        <f aca="false">M199+N199</f>
        <v>6375.01</v>
      </c>
      <c r="M199" s="155" t="n">
        <v>6375.01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125</v>
      </c>
      <c r="C200" s="35" t="s">
        <v>33</v>
      </c>
      <c r="D200" s="35" t="s">
        <v>126</v>
      </c>
      <c r="E200" s="35" t="s">
        <v>127</v>
      </c>
      <c r="F200" s="36"/>
      <c r="G200" s="158" t="s">
        <v>22</v>
      </c>
      <c r="H200" s="159" t="n">
        <v>17</v>
      </c>
      <c r="I200" s="160" t="n">
        <v>11</v>
      </c>
      <c r="J200" s="160" t="n">
        <v>15</v>
      </c>
      <c r="K200" s="161" t="n">
        <v>45075.64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/>
      <c r="G201" s="164" t="s">
        <v>23</v>
      </c>
      <c r="H201" s="171" t="n">
        <v>34</v>
      </c>
      <c r="I201" s="165" t="n">
        <v>15</v>
      </c>
      <c r="J201" s="165" t="n">
        <v>15</v>
      </c>
      <c r="K201" s="166" t="n">
        <v>32666.09</v>
      </c>
      <c r="L201" s="166" t="n">
        <v>28413.38</v>
      </c>
      <c r="M201" s="166" t="n">
        <v>28413.38</v>
      </c>
      <c r="N201" s="156"/>
      <c r="O201" s="168" t="n">
        <v>16</v>
      </c>
      <c r="P201" s="166" t="n">
        <v>44153.02</v>
      </c>
      <c r="Q201" s="166" t="n">
        <v>44153.02</v>
      </c>
      <c r="R201" s="166" t="n">
        <v>44153.02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128</v>
      </c>
      <c r="C202" s="19" t="s">
        <v>20</v>
      </c>
      <c r="D202" s="19"/>
      <c r="E202" s="19" t="s">
        <v>25</v>
      </c>
      <c r="F202" s="20"/>
      <c r="G202" s="146" t="s">
        <v>22</v>
      </c>
      <c r="H202" s="159" t="n">
        <v>28</v>
      </c>
      <c r="I202" s="148" t="n">
        <v>25</v>
      </c>
      <c r="J202" s="148" t="n">
        <v>30</v>
      </c>
      <c r="K202" s="149" t="n">
        <v>31480.96</v>
      </c>
      <c r="L202" s="149" t="n">
        <f aca="false">M202+N202</f>
        <v>23180.8</v>
      </c>
      <c r="M202" s="149" t="n">
        <v>23180.8</v>
      </c>
      <c r="N202" s="190"/>
      <c r="O202" s="151" t="n">
        <v>25</v>
      </c>
      <c r="P202" s="149" t="n">
        <v>47491.14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227</v>
      </c>
      <c r="C204" s="19"/>
      <c r="D204" s="19"/>
      <c r="E204" s="19"/>
      <c r="F204" s="20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71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296</v>
      </c>
      <c r="C206" s="19"/>
      <c r="D206" s="19"/>
      <c r="E206" s="19" t="s">
        <v>25</v>
      </c>
      <c r="F206" s="20"/>
      <c r="G206" s="146" t="s">
        <v>22</v>
      </c>
      <c r="H206" s="173" t="n">
        <v>2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57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34" t="s">
        <v>129</v>
      </c>
      <c r="C208" s="35" t="s">
        <v>38</v>
      </c>
      <c r="D208" s="35" t="s">
        <v>130</v>
      </c>
      <c r="E208" s="35" t="s">
        <v>25</v>
      </c>
      <c r="F208" s="36"/>
      <c r="G208" s="158" t="s">
        <v>22</v>
      </c>
      <c r="H208" s="159" t="n">
        <v>17</v>
      </c>
      <c r="I208" s="160" t="n">
        <v>12</v>
      </c>
      <c r="J208" s="160" t="n">
        <v>12</v>
      </c>
      <c r="K208" s="161" t="n">
        <v>13026.32</v>
      </c>
      <c r="L208" s="161" t="n">
        <f aca="false">M208+N208</f>
        <v>13026.32</v>
      </c>
      <c r="M208" s="161" t="n">
        <v>13026.32</v>
      </c>
      <c r="N208" s="190"/>
      <c r="O208" s="163" t="n">
        <v>5</v>
      </c>
      <c r="P208" s="161" t="n">
        <v>66458.37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34"/>
      <c r="C209" s="34"/>
      <c r="D209" s="34"/>
      <c r="E209" s="34"/>
      <c r="F209" s="42" t="s">
        <v>209</v>
      </c>
      <c r="G209" s="164" t="s">
        <v>26</v>
      </c>
      <c r="H209" s="153" t="n">
        <v>6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18" t="s">
        <v>131</v>
      </c>
      <c r="C210" s="19" t="s">
        <v>38</v>
      </c>
      <c r="D210" s="19" t="s">
        <v>130</v>
      </c>
      <c r="E210" s="19" t="s">
        <v>25</v>
      </c>
      <c r="F210" s="20"/>
      <c r="G210" s="146" t="s">
        <v>22</v>
      </c>
      <c r="H210" s="159" t="n">
        <v>11</v>
      </c>
      <c r="I210" s="148" t="n">
        <v>9</v>
      </c>
      <c r="J210" s="148" t="n">
        <v>17</v>
      </c>
      <c r="K210" s="149" t="n">
        <v>55173.64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18"/>
      <c r="C211" s="18"/>
      <c r="D211" s="18"/>
      <c r="E211" s="18"/>
      <c r="F211" s="26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34" t="s">
        <v>132</v>
      </c>
      <c r="C212" s="35" t="s">
        <v>20</v>
      </c>
      <c r="D212" s="35"/>
      <c r="E212" s="35" t="s">
        <v>69</v>
      </c>
      <c r="F212" s="38"/>
      <c r="G212" s="146" t="s">
        <v>22</v>
      </c>
      <c r="H212" s="159" t="n">
        <v>16</v>
      </c>
      <c r="I212" s="160" t="n">
        <v>13</v>
      </c>
      <c r="J212" s="160" t="n">
        <v>22</v>
      </c>
      <c r="K212" s="161" t="n">
        <v>48466.94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34"/>
      <c r="C213" s="34"/>
      <c r="D213" s="34"/>
      <c r="E213" s="34"/>
      <c r="F213" s="42" t="s">
        <v>211</v>
      </c>
      <c r="G213" s="164" t="s">
        <v>26</v>
      </c>
      <c r="H213" s="153" t="n">
        <v>11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133</v>
      </c>
      <c r="C214" s="74" t="s">
        <v>20</v>
      </c>
      <c r="D214" s="74"/>
      <c r="E214" s="74" t="s">
        <v>25</v>
      </c>
      <c r="F214" s="22"/>
      <c r="G214" s="146" t="s">
        <v>22</v>
      </c>
      <c r="H214" s="159" t="n">
        <v>4</v>
      </c>
      <c r="I214" s="148" t="n">
        <v>4</v>
      </c>
      <c r="J214" s="148" t="n">
        <v>5</v>
      </c>
      <c r="K214" s="149" t="n">
        <v>7984.73</v>
      </c>
      <c r="L214" s="149" t="n">
        <f aca="false">M214+N214</f>
        <v>7984.73</v>
      </c>
      <c r="M214" s="149" t="n">
        <v>7984.73</v>
      </c>
      <c r="N214" s="190"/>
      <c r="O214" s="151" t="n">
        <v>2</v>
      </c>
      <c r="P214" s="149" t="n">
        <v>4329.79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73"/>
      <c r="C215" s="73"/>
      <c r="D215" s="73"/>
      <c r="E215" s="73"/>
      <c r="F215" s="42" t="s">
        <v>212</v>
      </c>
      <c r="G215" s="164" t="s">
        <v>26</v>
      </c>
      <c r="H215" s="171" t="n">
        <v>4</v>
      </c>
      <c r="I215" s="165" t="n">
        <v>1</v>
      </c>
      <c r="J215" s="165" t="n">
        <v>1</v>
      </c>
      <c r="K215" s="166" t="n">
        <v>1409.6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73" t="s">
        <v>134</v>
      </c>
      <c r="C216" s="74" t="s">
        <v>20</v>
      </c>
      <c r="D216" s="74"/>
      <c r="E216" s="74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73"/>
      <c r="C217" s="73"/>
      <c r="D217" s="73"/>
      <c r="E217" s="73"/>
      <c r="F217" s="4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18" t="s">
        <v>135</v>
      </c>
      <c r="C218" s="19" t="s">
        <v>20</v>
      </c>
      <c r="D218" s="19"/>
      <c r="E218" s="19" t="s">
        <v>69</v>
      </c>
      <c r="F218" s="22"/>
      <c r="G218" s="146" t="s">
        <v>22</v>
      </c>
      <c r="H218" s="159" t="n">
        <v>18</v>
      </c>
      <c r="I218" s="148" t="n">
        <v>11</v>
      </c>
      <c r="J218" s="148" t="n">
        <v>13</v>
      </c>
      <c r="K218" s="149" t="n">
        <v>24275.69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277</v>
      </c>
      <c r="G219" s="152" t="s">
        <v>26</v>
      </c>
      <c r="H219" s="171" t="n">
        <v>9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136</v>
      </c>
      <c r="C220" s="35" t="s">
        <v>20</v>
      </c>
      <c r="D220" s="35"/>
      <c r="E220" s="35" t="s">
        <v>98</v>
      </c>
      <c r="F220" s="36"/>
      <c r="G220" s="146" t="s">
        <v>22</v>
      </c>
      <c r="H220" s="159" t="n">
        <v>24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137</v>
      </c>
      <c r="C222" s="19" t="s">
        <v>20</v>
      </c>
      <c r="D222" s="19"/>
      <c r="E222" s="19" t="s">
        <v>25</v>
      </c>
      <c r="F222" s="20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18"/>
      <c r="C223" s="18"/>
      <c r="D223" s="18"/>
      <c r="E223" s="18"/>
      <c r="F223" s="26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138</v>
      </c>
      <c r="C224" s="56" t="s">
        <v>33</v>
      </c>
      <c r="D224" s="56" t="s">
        <v>139</v>
      </c>
      <c r="E224" s="56" t="s">
        <v>25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34" t="s">
        <v>140</v>
      </c>
      <c r="C226" s="35" t="s">
        <v>20</v>
      </c>
      <c r="D226" s="35"/>
      <c r="E226" s="35" t="s">
        <v>141</v>
      </c>
      <c r="F226" s="36"/>
      <c r="G226" s="146" t="s">
        <v>22</v>
      </c>
      <c r="H226" s="159" t="n">
        <v>22</v>
      </c>
      <c r="I226" s="160" t="n">
        <v>18</v>
      </c>
      <c r="J226" s="160" t="n">
        <v>29</v>
      </c>
      <c r="K226" s="161" t="n">
        <v>45981.11</v>
      </c>
      <c r="L226" s="161" t="n">
        <f aca="false">M226+N226</f>
        <v>45981.11</v>
      </c>
      <c r="M226" s="161" t="n">
        <v>45981.11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215</v>
      </c>
      <c r="G227" s="164" t="s">
        <v>26</v>
      </c>
      <c r="H227" s="175" t="n">
        <v>2</v>
      </c>
      <c r="I227" s="165"/>
      <c r="J227" s="165"/>
      <c r="K227" s="166"/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251</v>
      </c>
      <c r="C228" s="19" t="s">
        <v>20</v>
      </c>
      <c r="D228" s="19"/>
      <c r="E228" s="19" t="s">
        <v>116</v>
      </c>
      <c r="F228" s="20"/>
      <c r="G228" s="146" t="s">
        <v>22</v>
      </c>
      <c r="H228" s="173" t="n">
        <v>6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252</v>
      </c>
      <c r="G229" s="152" t="s">
        <v>26</v>
      </c>
      <c r="H229" s="174" t="n">
        <v>9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142</v>
      </c>
      <c r="C230" s="56" t="s">
        <v>20</v>
      </c>
      <c r="D230" s="56"/>
      <c r="E230" s="56" t="s">
        <v>25</v>
      </c>
      <c r="F230" s="36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42" t="s">
        <v>216</v>
      </c>
      <c r="G231" s="164" t="s">
        <v>26</v>
      </c>
      <c r="H231" s="177" t="n">
        <v>9</v>
      </c>
      <c r="I231" s="165" t="n">
        <v>5</v>
      </c>
      <c r="J231" s="165" t="n">
        <v>5</v>
      </c>
      <c r="K231" s="166" t="n">
        <v>10225.1</v>
      </c>
      <c r="L231" s="166" t="n">
        <f aca="false">M231+N231</f>
        <v>5990.8</v>
      </c>
      <c r="M231" s="166" t="n">
        <f aca="false">5167.21+823.59</f>
        <v>5990.8</v>
      </c>
      <c r="N231" s="167"/>
      <c r="O231" s="238" t="n">
        <v>13</v>
      </c>
      <c r="P231" s="166" t="n">
        <v>14903.5</v>
      </c>
      <c r="Q231" s="166" t="n">
        <f aca="false">R231+S231</f>
        <v>14903.5</v>
      </c>
      <c r="R231" s="166" t="n">
        <f aca="false">14903.5</f>
        <v>14903.5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287</v>
      </c>
      <c r="C232" s="56" t="s">
        <v>20</v>
      </c>
      <c r="D232" s="19"/>
      <c r="E232" s="56" t="s">
        <v>25</v>
      </c>
      <c r="F232" s="20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288</v>
      </c>
      <c r="G233" s="152" t="s">
        <v>26</v>
      </c>
      <c r="H233" s="176" t="n">
        <v>7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34" t="s">
        <v>143</v>
      </c>
      <c r="C234" s="35" t="s">
        <v>20</v>
      </c>
      <c r="D234" s="35"/>
      <c r="E234" s="35" t="s">
        <v>25</v>
      </c>
      <c r="F234" s="36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34"/>
      <c r="C235" s="34"/>
      <c r="D235" s="34"/>
      <c r="E235" s="34"/>
      <c r="F235" s="42" t="s">
        <v>217</v>
      </c>
      <c r="G235" s="164" t="s">
        <v>26</v>
      </c>
      <c r="H235" s="171" t="n">
        <v>8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144</v>
      </c>
      <c r="C236" s="19" t="s">
        <v>20</v>
      </c>
      <c r="D236" s="19"/>
      <c r="E236" s="19" t="s">
        <v>81</v>
      </c>
      <c r="F236" s="20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34" t="s">
        <v>145</v>
      </c>
      <c r="C238" s="35" t="s">
        <v>20</v>
      </c>
      <c r="D238" s="35"/>
      <c r="E238" s="35" t="s">
        <v>98</v>
      </c>
      <c r="F238" s="36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34"/>
      <c r="C239" s="34"/>
      <c r="D239" s="34"/>
      <c r="E239" s="34"/>
      <c r="F239" s="71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146</v>
      </c>
      <c r="C240" s="19" t="s">
        <v>20</v>
      </c>
      <c r="D240" s="19"/>
      <c r="E240" s="19" t="s">
        <v>25</v>
      </c>
      <c r="F240" s="22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13677.7</v>
      </c>
      <c r="M240" s="149" t="n">
        <v>13677.7</v>
      </c>
      <c r="N240" s="190"/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42" t="s">
        <v>219</v>
      </c>
      <c r="G241" s="164" t="s">
        <v>26</v>
      </c>
      <c r="H241" s="178" t="n">
        <v>6</v>
      </c>
      <c r="I241" s="165" t="n">
        <v>5</v>
      </c>
      <c r="J241" s="165" t="n">
        <v>5</v>
      </c>
      <c r="K241" s="166" t="n">
        <v>9225.65</v>
      </c>
      <c r="L241" s="166" t="n">
        <f aca="false">M241+N241</f>
        <v>3150.65</v>
      </c>
      <c r="M241" s="166" t="n">
        <f aca="false">3150.65</f>
        <v>3150.65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18" t="s">
        <v>289</v>
      </c>
      <c r="C242" s="19"/>
      <c r="D242" s="19"/>
      <c r="E242" s="19"/>
      <c r="F242" s="20"/>
      <c r="G242" s="146" t="s">
        <v>22</v>
      </c>
      <c r="H242" s="173" t="n">
        <v>7</v>
      </c>
      <c r="I242" s="148" t="n">
        <v>6</v>
      </c>
      <c r="J242" s="148" t="n">
        <v>10</v>
      </c>
      <c r="K242" s="149" t="n">
        <v>10180.58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18"/>
      <c r="C243" s="18"/>
      <c r="D243" s="18"/>
      <c r="E243" s="18"/>
      <c r="F243" s="57"/>
      <c r="G243" s="152" t="s">
        <v>23</v>
      </c>
      <c r="H243" s="174" t="n">
        <v>4</v>
      </c>
      <c r="I243" s="154" t="n">
        <v>2</v>
      </c>
      <c r="J243" s="154" t="n">
        <v>2</v>
      </c>
      <c r="K243" s="155" t="n">
        <v>3743.41</v>
      </c>
      <c r="L243" s="155" t="n">
        <v>2325.84</v>
      </c>
      <c r="M243" s="155" t="n">
        <v>2325.84</v>
      </c>
      <c r="N243" s="226"/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55" t="s">
        <v>147</v>
      </c>
      <c r="C244" s="56" t="s">
        <v>20</v>
      </c>
      <c r="D244" s="56"/>
      <c r="E244" s="56" t="s">
        <v>25</v>
      </c>
      <c r="F244" s="97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55"/>
      <c r="C245" s="55"/>
      <c r="D245" s="55"/>
      <c r="E245" s="55"/>
      <c r="F245" s="42" t="s">
        <v>220</v>
      </c>
      <c r="G245" s="164" t="s">
        <v>26</v>
      </c>
      <c r="H245" s="172" t="n">
        <v>12</v>
      </c>
      <c r="I245" s="165" t="n">
        <v>3</v>
      </c>
      <c r="J245" s="165" t="n">
        <v>4</v>
      </c>
      <c r="K245" s="166" t="n">
        <v>10451.1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18" t="s">
        <v>297</v>
      </c>
      <c r="C246" s="19"/>
      <c r="D246" s="19"/>
      <c r="E246" s="19" t="s">
        <v>25</v>
      </c>
      <c r="F246" s="22"/>
      <c r="G246" s="146" t="s">
        <v>22</v>
      </c>
      <c r="H246" s="173" t="n">
        <v>4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18"/>
      <c r="C247" s="18"/>
      <c r="D247" s="18"/>
      <c r="E247" s="18"/>
      <c r="F247" s="26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55" t="s">
        <v>148</v>
      </c>
      <c r="C248" s="56" t="s">
        <v>20</v>
      </c>
      <c r="D248" s="56"/>
      <c r="E248" s="56" t="s">
        <v>21</v>
      </c>
      <c r="F248" s="38"/>
      <c r="G248" s="158" t="s">
        <v>22</v>
      </c>
      <c r="H248" s="159" t="n">
        <v>3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55"/>
      <c r="C249" s="55"/>
      <c r="D249" s="55"/>
      <c r="E249" s="55"/>
      <c r="F249" s="26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2210</v>
      </c>
      <c r="I250" s="214" t="n">
        <f aca="false">SUM(I9:I249)</f>
        <v>1392</v>
      </c>
      <c r="J250" s="214" t="n">
        <f aca="false">SUM(J9:J249)</f>
        <v>1665</v>
      </c>
      <c r="K250" s="215" t="n">
        <f aca="false">SUM(K9:K249)</f>
        <v>2886290.79</v>
      </c>
      <c r="L250" s="215" t="n">
        <f aca="false">SUM(L9:L249)</f>
        <v>2449662.72</v>
      </c>
      <c r="M250" s="215" t="n">
        <f aca="false">SUM(M9:M249)</f>
        <v>2409147.88</v>
      </c>
      <c r="N250" s="243" t="n">
        <f aca="false">SUM(N9:N249)</f>
        <v>40509.34</v>
      </c>
      <c r="O250" s="244" t="n">
        <f aca="false">SUM(O9:O249)</f>
        <v>1146</v>
      </c>
      <c r="P250" s="245" t="n">
        <f aca="false">SUM(P9:P249)</f>
        <v>4246039.13</v>
      </c>
      <c r="Q250" s="245" t="n">
        <f aca="false">SUM(Q9:Q249)</f>
        <v>3980588.87</v>
      </c>
      <c r="R250" s="245" t="n">
        <f aca="false">SUM(R9:R249)</f>
        <v>3977973.99</v>
      </c>
      <c r="S250" s="246" t="n">
        <f aca="false">SUM(S9:S249)</f>
        <v>10347.08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1486</v>
      </c>
      <c r="H256" s="108" t="n">
        <f aca="false">SUMIF($G$9:$G$249,$F$256,I9:I249)</f>
        <v>1053</v>
      </c>
      <c r="I256" s="108" t="n">
        <f aca="false">SUMIF($G$9:$G$249,$F$256,J9:J249)</f>
        <v>1322</v>
      </c>
      <c r="J256" s="110" t="n">
        <f aca="false">SUMIF($G$9:$G$249,F256,$K$9:$K$249)</f>
        <v>2304519.94</v>
      </c>
      <c r="K256" s="110" t="n">
        <f aca="false">SUMIF($G$9:$G$249,$F$256,L9:L249)</f>
        <v>1961701.05</v>
      </c>
      <c r="L256" s="110" t="n">
        <f aca="false">SUMIF($G$9:$G$249,$F$256,M9:M249)</f>
        <v>1935117.49</v>
      </c>
      <c r="M256" s="110" t="n">
        <f aca="false">SUMIF($G$9:$G$249,$F$256,N9:N249)</f>
        <v>26583.56</v>
      </c>
      <c r="N256" s="108" t="n">
        <f aca="false">SUMIF($G$9:$G$249,$F$256,O9:O249)</f>
        <v>774</v>
      </c>
      <c r="O256" s="110" t="n">
        <f aca="false">SUMIF($G$9:$G$249,F256,$P$9:$P$249)</f>
        <v>3241293.09</v>
      </c>
      <c r="P256" s="110" t="n">
        <f aca="false">SUMIF($G$9:$G$249,$F$256,Q9:Q249)</f>
        <v>2987582.49</v>
      </c>
      <c r="Q256" s="110" t="n">
        <f aca="false">SUMIF($G$9:$G$249,$F$256,R9:R249)</f>
        <v>2977235.41</v>
      </c>
      <c r="R256" s="110" t="n">
        <f aca="false">SUMIF($G$9:$G$249,$F$256,S9:S249)</f>
        <v>10347.08</v>
      </c>
      <c r="S256" s="110" t="n">
        <f aca="false">Q256+L256</f>
        <v>4912352.9</v>
      </c>
      <c r="T256" s="111" t="n">
        <f aca="false">J256-L256+O256-Q256</f>
        <v>633460.13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470</v>
      </c>
      <c r="H257" s="108" t="n">
        <f aca="false">SUMIF($G$9:$G$249,$F$257,I9:I249)</f>
        <v>193</v>
      </c>
      <c r="I257" s="108" t="n">
        <f aca="false">SUMIF($G$9:$G$249,$F$257,J9:J249)</f>
        <v>197</v>
      </c>
      <c r="J257" s="110" t="n">
        <f aca="false">SUMIF($G$9:$G$249,F257,$K$9:$K$249)</f>
        <v>393804.78</v>
      </c>
      <c r="K257" s="110" t="n">
        <f aca="false">SUMIF($G$9:$G$249,$F$257,L9:L249)</f>
        <v>309665.93</v>
      </c>
      <c r="L257" s="110" t="n">
        <f aca="false">SUMIF($G$9:$G$249,$F$257,M9:M249)</f>
        <v>295734.65</v>
      </c>
      <c r="M257" s="110" t="n">
        <f aca="false">SUMIF($G$9:$G$249,$F$257,N9:N249)</f>
        <v>13925.78</v>
      </c>
      <c r="N257" s="108" t="n">
        <f aca="false">SUMIF($G$9:$G$249,$F$257,O9:O249)</f>
        <v>271</v>
      </c>
      <c r="O257" s="110" t="n">
        <f aca="false">SUMIF($G$9:$G$249,F257,$P$9:$P$249)</f>
        <v>789945.29</v>
      </c>
      <c r="P257" s="110" t="n">
        <f aca="false">SUMIF($G$9:$G$249,$F$257,Q9:Q249)</f>
        <v>778205.63</v>
      </c>
      <c r="Q257" s="110" t="n">
        <f aca="false">SUMIF($G$9:$G$249,$F$257,R9:R249)</f>
        <v>785937.83</v>
      </c>
      <c r="R257" s="110" t="n">
        <f aca="false">SUMIF($G$9:$G$249,$F$257,S9:S249)</f>
        <v>0</v>
      </c>
      <c r="S257" s="110" t="n">
        <f aca="false">Q257+L257</f>
        <v>1081672.48</v>
      </c>
      <c r="T257" s="111" t="n">
        <f aca="false">J257-L257+O257-Q257</f>
        <v>102077.59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254</v>
      </c>
      <c r="H258" s="108" t="n">
        <f aca="false">SUMIF($G$9:$G$249,$F$258,I9:I249)</f>
        <v>146</v>
      </c>
      <c r="I258" s="108" t="n">
        <f aca="false">SUMIF($G$9:$G$249,$F$258,J9:J249)</f>
        <v>146</v>
      </c>
      <c r="J258" s="110" t="n">
        <f aca="false">SUMIF($G$9:$G$249,F258,$K$9:$K$249)</f>
        <v>187966.07</v>
      </c>
      <c r="K258" s="110" t="n">
        <f aca="false">SUMIF($G$9:$G$249,$F$258,L9:L249)</f>
        <v>178295.74</v>
      </c>
      <c r="L258" s="110" t="n">
        <f aca="false">SUMIF($G$9:$G$249,$F$258,M9:M249)</f>
        <v>178295.74</v>
      </c>
      <c r="M258" s="110" t="n">
        <f aca="false">SUMIF($G$9:$G$249,$F$258,N9:N249)</f>
        <v>0</v>
      </c>
      <c r="N258" s="108" t="n">
        <f aca="false">SUMIF($G$9:$G$249,$F$258,O9:O249)</f>
        <v>101</v>
      </c>
      <c r="O258" s="110" t="n">
        <f aca="false">SUMIF($G$9:$G$249,F258,$P$9:$P$249)</f>
        <v>214800.75</v>
      </c>
      <c r="P258" s="110" t="n">
        <f aca="false">SUMIF($G$9:$G$249,$F$258,Q9:Q249)</f>
        <v>214800.75</v>
      </c>
      <c r="Q258" s="110" t="n">
        <f aca="false">SUMIF($G$9:$G$249,$F$258,R9:R249)</f>
        <v>214800.75</v>
      </c>
      <c r="R258" s="110" t="n">
        <f aca="false">SUMIF($G$9:$G$249,$F$258,S9:S249)</f>
        <v>0</v>
      </c>
      <c r="S258" s="110" t="n">
        <f aca="false">Q258+L258</f>
        <v>393096.49</v>
      </c>
      <c r="T258" s="111" t="n">
        <f aca="false">J258-L258+O258-Q258</f>
        <v>9670.33000000002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2210</v>
      </c>
      <c r="H259" s="216" t="n">
        <f aca="false">H258+H257+H256</f>
        <v>1392</v>
      </c>
      <c r="I259" s="216" t="n">
        <f aca="false">I258+I257+I256</f>
        <v>1665</v>
      </c>
      <c r="J259" s="217" t="n">
        <f aca="false">J258+J257+J256</f>
        <v>2886290.79</v>
      </c>
      <c r="K259" s="217" t="n">
        <f aca="false">K258+K257+K256</f>
        <v>2449662.72</v>
      </c>
      <c r="L259" s="217" t="n">
        <f aca="false">L258+L257+L256</f>
        <v>2409147.88</v>
      </c>
      <c r="M259" s="217" t="n">
        <f aca="false">M258+M257+M256</f>
        <v>40509.34</v>
      </c>
      <c r="N259" s="216" t="n">
        <f aca="false">N258+N257+N256</f>
        <v>1146</v>
      </c>
      <c r="O259" s="217" t="n">
        <f aca="false">O258+O257+O256</f>
        <v>4246039.13</v>
      </c>
      <c r="P259" s="217" t="n">
        <f aca="false">P258+P257+P256</f>
        <v>3980588.87</v>
      </c>
      <c r="Q259" s="217" t="n">
        <f aca="false">Q258+Q257+Q256</f>
        <v>3977973.99</v>
      </c>
      <c r="R259" s="217" t="n">
        <f aca="false">R258+R257+R256</f>
        <v>10347.08</v>
      </c>
      <c r="S259" s="217" t="n">
        <f aca="false">S258+S257+S256</f>
        <v>6387121.87</v>
      </c>
      <c r="T259" s="217" t="n">
        <f aca="false">T258+T257+T256</f>
        <v>745208.05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1486</v>
      </c>
      <c r="H320" s="247" t="n">
        <v>1053</v>
      </c>
      <c r="I320" s="247" t="n">
        <v>1322</v>
      </c>
      <c r="J320" s="0" t="n">
        <v>2304519.94</v>
      </c>
      <c r="K320" s="236"/>
      <c r="N320" s="0" t="n">
        <v>774</v>
      </c>
      <c r="O320" s="0" t="n">
        <v>3241293.09</v>
      </c>
    </row>
    <row r="321" customFormat="false" ht="15" hidden="false" customHeight="false" outlineLevel="0" collapsed="false">
      <c r="G321" s="221" t="n">
        <f aca="false">G256-G320</f>
        <v>0</v>
      </c>
      <c r="H321" s="221" t="n">
        <f aca="false">H256-H320</f>
        <v>0</v>
      </c>
      <c r="I321" s="221" t="n">
        <f aca="false">I256-I320</f>
        <v>0</v>
      </c>
      <c r="J321" s="229" t="n">
        <f aca="false">J256-J320</f>
        <v>0</v>
      </c>
      <c r="K321" s="236"/>
      <c r="N321" s="221" t="n">
        <f aca="false">N256-N320</f>
        <v>0</v>
      </c>
      <c r="O321" s="229" t="n">
        <f aca="false">O256-O320</f>
        <v>0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28887.49</v>
      </c>
      <c r="R9" s="149" t="n">
        <v>28887.49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27</v>
      </c>
      <c r="I11" s="160" t="n">
        <v>18</v>
      </c>
      <c r="J11" s="160" t="n">
        <v>32</v>
      </c>
      <c r="K11" s="161" t="n">
        <v>71801.93</v>
      </c>
      <c r="L11" s="161" t="n">
        <f aca="false">M11+N11</f>
        <v>71801.93</v>
      </c>
      <c r="M11" s="161" t="n">
        <v>71801.93</v>
      </c>
      <c r="N11" s="239"/>
      <c r="O11" s="151" t="n">
        <v>9</v>
      </c>
      <c r="P11" s="149" t="n">
        <v>39893.36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6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32</v>
      </c>
      <c r="I13" s="148" t="n">
        <v>25</v>
      </c>
      <c r="J13" s="148" t="n">
        <v>37</v>
      </c>
      <c r="K13" s="149" t="n">
        <v>56264.78</v>
      </c>
      <c r="L13" s="149" t="n">
        <f aca="false">M13+N13</f>
        <v>53490.39</v>
      </c>
      <c r="M13" s="149" t="n">
        <v>53490.39</v>
      </c>
      <c r="N13" s="249"/>
      <c r="O13" s="228" t="n">
        <v>7</v>
      </c>
      <c r="P13" s="161" t="n">
        <v>21729.06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15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8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15</v>
      </c>
      <c r="J21" s="160" t="n">
        <v>18</v>
      </c>
      <c r="K21" s="161" t="n">
        <v>23786.9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29</v>
      </c>
      <c r="I23" s="160" t="n">
        <v>24</v>
      </c>
      <c r="J23" s="160" t="n">
        <v>40</v>
      </c>
      <c r="K23" s="161" t="n">
        <v>58838.45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27</v>
      </c>
      <c r="I25" s="148" t="n">
        <v>21</v>
      </c>
      <c r="J25" s="148" t="n">
        <v>21</v>
      </c>
      <c r="K25" s="148" t="n">
        <v>8879.88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25</v>
      </c>
      <c r="J27" s="160" t="n">
        <v>39</v>
      </c>
      <c r="K27" s="161" t="n">
        <v>73966.8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5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9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16</v>
      </c>
      <c r="I34" s="165" t="n">
        <v>3</v>
      </c>
      <c r="J34" s="165" t="n">
        <v>3</v>
      </c>
      <c r="K34" s="166" t="n">
        <v>6519.4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19</v>
      </c>
      <c r="I37" s="160" t="n">
        <v>11</v>
      </c>
      <c r="J37" s="160" t="n">
        <v>12</v>
      </c>
      <c r="K37" s="161" t="n">
        <v>21061.64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12</v>
      </c>
      <c r="I38" s="154" t="n">
        <v>9</v>
      </c>
      <c r="J38" s="154" t="n">
        <v>9</v>
      </c>
      <c r="K38" s="155" t="n">
        <v>12694.65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19</v>
      </c>
      <c r="I43" s="160" t="n">
        <v>16</v>
      </c>
      <c r="J43" s="160" t="n">
        <v>22</v>
      </c>
      <c r="K43" s="161" t="n">
        <v>47965.48</v>
      </c>
      <c r="L43" s="161" t="n">
        <f aca="false">M43+N43</f>
        <v>36053.18</v>
      </c>
      <c r="M43" s="161" t="n">
        <v>36053.18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7</v>
      </c>
      <c r="P46" s="166" t="n">
        <v>19654.4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11</v>
      </c>
      <c r="I48" s="154" t="n">
        <v>3</v>
      </c>
      <c r="J48" s="154" t="n">
        <v>3</v>
      </c>
      <c r="K48" s="155" t="n">
        <v>9056.68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7</v>
      </c>
      <c r="P48" s="155" t="n">
        <v>17663.63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59</v>
      </c>
      <c r="I53" s="148" t="n">
        <v>53</v>
      </c>
      <c r="J53" s="148" t="n">
        <v>54</v>
      </c>
      <c r="K53" s="149" t="n">
        <v>66691.35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32</v>
      </c>
      <c r="I55" s="160" t="n">
        <v>23</v>
      </c>
      <c r="J55" s="160" t="n">
        <v>32</v>
      </c>
      <c r="K55" s="161" t="n">
        <v>59571.37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8</v>
      </c>
      <c r="I57" s="160" t="n">
        <v>6</v>
      </c>
      <c r="J57" s="160" t="n">
        <v>7</v>
      </c>
      <c r="K57" s="161" t="n">
        <v>18775.06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6</v>
      </c>
      <c r="I59" s="148"/>
      <c r="J59" s="148"/>
      <c r="K59" s="149"/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8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8</v>
      </c>
      <c r="I63" s="148" t="n">
        <v>2</v>
      </c>
      <c r="J63" s="148" t="n">
        <v>2</v>
      </c>
      <c r="K63" s="149" t="n">
        <v>881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8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16</v>
      </c>
      <c r="I65" s="160" t="n">
        <v>15</v>
      </c>
      <c r="J65" s="160" t="n">
        <v>19</v>
      </c>
      <c r="K65" s="161" t="n">
        <v>37276.59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2</v>
      </c>
      <c r="J67" s="148" t="n">
        <v>2</v>
      </c>
      <c r="K67" s="149" t="n">
        <v>5127.42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9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28</v>
      </c>
      <c r="I71" s="148" t="n">
        <v>20</v>
      </c>
      <c r="J71" s="148" t="n">
        <v>23</v>
      </c>
      <c r="K71" s="149" t="n">
        <v>49173.24</v>
      </c>
      <c r="L71" s="149" t="n">
        <f aca="false">M71+N71</f>
        <v>49173.24</v>
      </c>
      <c r="M71" s="149" t="n">
        <v>35297.27</v>
      </c>
      <c r="N71" s="190" t="n">
        <v>13875.97</v>
      </c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34</v>
      </c>
      <c r="I73" s="160" t="n">
        <v>26</v>
      </c>
      <c r="J73" s="160" t="n">
        <v>31</v>
      </c>
      <c r="K73" s="161" t="n">
        <v>67039.07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2</v>
      </c>
      <c r="J74" s="165" t="n">
        <v>2</v>
      </c>
      <c r="K74" s="166" t="n">
        <v>1771.96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12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15</v>
      </c>
      <c r="I81" s="148" t="n">
        <v>7</v>
      </c>
      <c r="J81" s="148" t="n">
        <v>7</v>
      </c>
      <c r="K81" s="149" t="n">
        <v>30516.45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26</v>
      </c>
      <c r="I82" s="154" t="n">
        <v>14</v>
      </c>
      <c r="J82" s="154" t="n">
        <v>14</v>
      </c>
      <c r="K82" s="155" t="n">
        <v>19787.82</v>
      </c>
      <c r="L82" s="155" t="n">
        <v>19787.82</v>
      </c>
      <c r="M82" s="155" t="n">
        <v>19787.82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5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9</v>
      </c>
      <c r="P85" s="149" t="n">
        <v>28668.15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11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36</v>
      </c>
      <c r="J90" s="165" t="n">
        <v>36</v>
      </c>
      <c r="K90" s="166" t="n">
        <v>43819.35</v>
      </c>
      <c r="L90" s="166" t="n">
        <v>41149.9</v>
      </c>
      <c r="M90" s="166" t="n">
        <v>41149.9</v>
      </c>
      <c r="N90" s="156"/>
      <c r="O90" s="168" t="n">
        <v>36</v>
      </c>
      <c r="P90" s="166" t="n">
        <v>73763.42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8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9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13</v>
      </c>
      <c r="I93" s="148" t="n">
        <v>5</v>
      </c>
      <c r="J93" s="148" t="n">
        <v>6</v>
      </c>
      <c r="K93" s="149" t="n">
        <v>14215.51</v>
      </c>
      <c r="L93" s="149" t="n">
        <f aca="false">M93+N93</f>
        <v>14215.51</v>
      </c>
      <c r="M93" s="149" t="n">
        <v>14215.51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9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27231.45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10</v>
      </c>
      <c r="I97" s="160" t="n">
        <v>8</v>
      </c>
      <c r="J97" s="160" t="n">
        <v>8</v>
      </c>
      <c r="K97" s="161" t="n">
        <v>13173.07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8</v>
      </c>
      <c r="I98" s="165" t="n">
        <v>3</v>
      </c>
      <c r="J98" s="165" t="n">
        <v>3</v>
      </c>
      <c r="K98" s="166" t="n">
        <v>4052.6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7</v>
      </c>
      <c r="I99" s="148" t="n">
        <v>4</v>
      </c>
      <c r="J99" s="148" t="n">
        <v>5</v>
      </c>
      <c r="K99" s="149" t="n">
        <v>9768.84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32</v>
      </c>
      <c r="I101" s="160" t="n">
        <v>28</v>
      </c>
      <c r="J101" s="160" t="n">
        <v>31</v>
      </c>
      <c r="K101" s="161" t="n">
        <v>62282.97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23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12723.15</v>
      </c>
      <c r="M103" s="149" t="n">
        <v>12723.15</v>
      </c>
      <c r="N103" s="190"/>
      <c r="O103" s="151" t="n">
        <v>3</v>
      </c>
      <c r="P103" s="149" t="n">
        <v>18333.88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11</v>
      </c>
      <c r="J105" s="148" t="n">
        <v>13</v>
      </c>
      <c r="K105" s="149" t="n">
        <v>11054.79</v>
      </c>
      <c r="L105" s="149" t="n">
        <f aca="false">M105+N105</f>
        <v>11054.79</v>
      </c>
      <c r="M105" s="149" t="n">
        <v>11054.79</v>
      </c>
      <c r="N105" s="190"/>
      <c r="O105" s="151" t="n">
        <v>9</v>
      </c>
      <c r="P105" s="149" t="n">
        <v>50436.95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6038.2</v>
      </c>
      <c r="M107" s="155" t="n">
        <v>6038.2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9</v>
      </c>
      <c r="I108" s="160" t="n">
        <v>6</v>
      </c>
      <c r="J108" s="160" t="n">
        <v>7</v>
      </c>
      <c r="K108" s="161" t="n">
        <v>13195.1</v>
      </c>
      <c r="L108" s="161" t="n">
        <f aca="false">M108+N108</f>
        <v>11123.42</v>
      </c>
      <c r="M108" s="161" t="n">
        <v>11123.42</v>
      </c>
      <c r="N108" s="190"/>
      <c r="O108" s="163" t="n">
        <v>10</v>
      </c>
      <c r="P108" s="161" t="n">
        <v>36158.58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33</v>
      </c>
      <c r="I112" s="148" t="n">
        <v>27</v>
      </c>
      <c r="J112" s="148" t="n">
        <v>35</v>
      </c>
      <c r="K112" s="149" t="n">
        <v>48977.66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5</v>
      </c>
      <c r="J113" s="165" t="n">
        <v>5</v>
      </c>
      <c r="K113" s="166" t="n">
        <v>13607.25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34</v>
      </c>
      <c r="I118" s="160" t="n">
        <v>24</v>
      </c>
      <c r="J118" s="160" t="n">
        <v>34</v>
      </c>
      <c r="K118" s="161" t="n">
        <v>61737.14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9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37</v>
      </c>
      <c r="I122" s="148" t="n">
        <v>24</v>
      </c>
      <c r="J122" s="148" t="n">
        <v>30</v>
      </c>
      <c r="K122" s="149" t="n">
        <v>37963.88</v>
      </c>
      <c r="L122" s="149" t="n">
        <f aca="false">M122+N122</f>
        <v>19998.93</v>
      </c>
      <c r="M122" s="149" t="n">
        <v>19998.93</v>
      </c>
      <c r="N122" s="190"/>
      <c r="O122" s="151" t="n">
        <v>17</v>
      </c>
      <c r="P122" s="149" t="n">
        <v>27287.32</v>
      </c>
      <c r="Q122" s="149" t="n">
        <f aca="false">R122+S122</f>
        <v>17228.94</v>
      </c>
      <c r="R122" s="149" t="n">
        <v>17228.94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27</v>
      </c>
      <c r="I123" s="165" t="n">
        <v>18</v>
      </c>
      <c r="J123" s="165" t="n">
        <v>18</v>
      </c>
      <c r="K123" s="166" t="n">
        <v>18712.39</v>
      </c>
      <c r="L123" s="166" t="n">
        <v>17623.79</v>
      </c>
      <c r="M123" s="166" t="n">
        <v>17623.79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28</v>
      </c>
      <c r="I124" s="148" t="n">
        <v>19</v>
      </c>
      <c r="J124" s="148" t="n">
        <v>26</v>
      </c>
      <c r="K124" s="149" t="n">
        <v>120678.58</v>
      </c>
      <c r="L124" s="149" t="n">
        <f aca="false">M124+N124</f>
        <v>78634.92</v>
      </c>
      <c r="M124" s="149" t="n">
        <v>78634.92</v>
      </c>
      <c r="N124" s="190"/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34</v>
      </c>
      <c r="I126" s="160" t="n">
        <v>14</v>
      </c>
      <c r="J126" s="160" t="n">
        <v>15</v>
      </c>
      <c r="K126" s="161" t="n">
        <v>50248.5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8</v>
      </c>
      <c r="J135" s="148" t="n">
        <v>9</v>
      </c>
      <c r="K135" s="149" t="n">
        <v>18559.13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22</v>
      </c>
      <c r="I136" s="165" t="n">
        <v>14</v>
      </c>
      <c r="J136" s="165" t="n">
        <v>14</v>
      </c>
      <c r="K136" s="166" t="n">
        <v>13017.85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35</v>
      </c>
      <c r="I137" s="148" t="n">
        <v>26</v>
      </c>
      <c r="J137" s="148" t="n">
        <v>34</v>
      </c>
      <c r="K137" s="149" t="n">
        <v>92848.73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14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12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27</v>
      </c>
      <c r="I142" s="160" t="n">
        <v>20</v>
      </c>
      <c r="J142" s="160" t="n">
        <v>22</v>
      </c>
      <c r="K142" s="161" t="n">
        <v>11923.35</v>
      </c>
      <c r="L142" s="161" t="n">
        <f aca="false">M142+N142</f>
        <v>7606.2</v>
      </c>
      <c r="M142" s="161" t="n">
        <v>7606.2</v>
      </c>
      <c r="N142" s="190"/>
      <c r="O142" s="163" t="n">
        <v>25</v>
      </c>
      <c r="P142" s="161" t="n">
        <v>56744.77</v>
      </c>
      <c r="Q142" s="161" t="n">
        <f aca="false">R142+S142</f>
        <v>48668.87</v>
      </c>
      <c r="R142" s="161" t="n">
        <v>48668.87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13</v>
      </c>
      <c r="I143" s="181" t="n">
        <v>5</v>
      </c>
      <c r="J143" s="181" t="n">
        <v>5</v>
      </c>
      <c r="K143" s="182" t="n">
        <v>4228.8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3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7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23</v>
      </c>
      <c r="I147" s="160" t="n">
        <v>18</v>
      </c>
      <c r="J147" s="160" t="n">
        <v>19</v>
      </c>
      <c r="K147" s="161" t="n">
        <v>23557.5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6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6</v>
      </c>
      <c r="I149" s="148" t="n">
        <v>4</v>
      </c>
      <c r="J149" s="148" t="n">
        <v>5</v>
      </c>
      <c r="K149" s="149" t="n">
        <v>10058.94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 t="n">
        <v>2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/>
      <c r="J152" s="154"/>
      <c r="K152" s="155"/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42" t="s">
        <v>281</v>
      </c>
      <c r="G154" s="164" t="s">
        <v>26</v>
      </c>
      <c r="H154" s="175" t="n">
        <v>3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304</v>
      </c>
      <c r="C155" s="19"/>
      <c r="D155" s="19"/>
      <c r="E155" s="19" t="s">
        <v>25</v>
      </c>
      <c r="F155" s="20"/>
      <c r="G155" s="21" t="s">
        <v>22</v>
      </c>
      <c r="H155" s="21" t="n">
        <v>2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105</v>
      </c>
      <c r="C157" s="35" t="s">
        <v>33</v>
      </c>
      <c r="D157" s="35" t="s">
        <v>106</v>
      </c>
      <c r="E157" s="35" t="s">
        <v>107</v>
      </c>
      <c r="F157" s="36"/>
      <c r="G157" s="158" t="s">
        <v>22</v>
      </c>
      <c r="H157" s="169" t="n">
        <v>8</v>
      </c>
      <c r="I157" s="160" t="n">
        <v>3</v>
      </c>
      <c r="J157" s="160" t="n">
        <v>3</v>
      </c>
      <c r="K157" s="161" t="n">
        <v>2479.18</v>
      </c>
      <c r="L157" s="161" t="n">
        <f aca="false">M157+N157</f>
        <v>1617.46</v>
      </c>
      <c r="M157" s="161" t="n">
        <v>1617.46</v>
      </c>
      <c r="N157" s="190"/>
      <c r="O157" s="163" t="n">
        <v>13</v>
      </c>
      <c r="P157" s="161" t="n">
        <v>57322.59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194</v>
      </c>
      <c r="G158" s="164" t="s">
        <v>26</v>
      </c>
      <c r="H158" s="153" t="n">
        <v>2</v>
      </c>
      <c r="I158" s="165"/>
      <c r="J158" s="165"/>
      <c r="K158" s="166"/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73" t="s">
        <v>108</v>
      </c>
      <c r="C159" s="74" t="s">
        <v>33</v>
      </c>
      <c r="D159" s="74" t="s">
        <v>109</v>
      </c>
      <c r="E159" s="74" t="s">
        <v>25</v>
      </c>
      <c r="F159" s="20"/>
      <c r="G159" s="146" t="s">
        <v>22</v>
      </c>
      <c r="H159" s="159" t="n">
        <v>13</v>
      </c>
      <c r="I159" s="148" t="n">
        <v>11</v>
      </c>
      <c r="J159" s="148" t="n">
        <v>13</v>
      </c>
      <c r="K159" s="149" t="n">
        <v>32078.76</v>
      </c>
      <c r="L159" s="149" t="n">
        <f aca="false">M159+N159</f>
        <v>21755.92</v>
      </c>
      <c r="M159" s="149" t="n">
        <v>21755.92</v>
      </c>
      <c r="N159" s="190"/>
      <c r="O159" s="151" t="n">
        <v>23</v>
      </c>
      <c r="P159" s="149" t="n">
        <v>57535.32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73"/>
      <c r="C160" s="73"/>
      <c r="D160" s="73"/>
      <c r="E160" s="73"/>
      <c r="F160" s="4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 t="s">
        <v>110</v>
      </c>
      <c r="C161" s="19" t="s">
        <v>33</v>
      </c>
      <c r="D161" s="19" t="s">
        <v>111</v>
      </c>
      <c r="E161" s="19" t="s">
        <v>25</v>
      </c>
      <c r="F161" s="20"/>
      <c r="G161" s="146" t="s">
        <v>22</v>
      </c>
      <c r="H161" s="159" t="n">
        <v>31</v>
      </c>
      <c r="I161" s="148" t="n">
        <v>25</v>
      </c>
      <c r="J161" s="193" t="n">
        <v>31</v>
      </c>
      <c r="K161" s="149" t="n">
        <v>38363.42</v>
      </c>
      <c r="L161" s="149" t="n">
        <f aca="false">M161+N161</f>
        <v>25113.93</v>
      </c>
      <c r="M161" s="149" t="n">
        <v>25113.93</v>
      </c>
      <c r="N161" s="190"/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4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40" t="s">
        <v>282</v>
      </c>
      <c r="C163" s="19" t="s">
        <v>33</v>
      </c>
      <c r="D163" s="19" t="s">
        <v>283</v>
      </c>
      <c r="E163" s="19" t="s">
        <v>284</v>
      </c>
      <c r="F163" s="20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40"/>
      <c r="C164" s="19"/>
      <c r="D164" s="19"/>
      <c r="E164" s="19"/>
      <c r="F164" s="26" t="s">
        <v>285</v>
      </c>
      <c r="G164" s="152" t="s">
        <v>23</v>
      </c>
      <c r="H164" s="174" t="n">
        <v>7</v>
      </c>
      <c r="I164" s="154" t="n">
        <v>2</v>
      </c>
      <c r="J164" s="154" t="n">
        <v>2</v>
      </c>
      <c r="K164" s="242" t="n">
        <v>1472.8</v>
      </c>
      <c r="L164" s="242" t="n">
        <f aca="false">M164+N164</f>
        <v>1472.8</v>
      </c>
      <c r="M164" s="242" t="n">
        <v>1472.8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34" t="s">
        <v>112</v>
      </c>
      <c r="C165" s="35" t="s">
        <v>20</v>
      </c>
      <c r="D165" s="35" t="s">
        <v>197</v>
      </c>
      <c r="E165" s="35" t="s">
        <v>25</v>
      </c>
      <c r="F165" s="36"/>
      <c r="G165" s="158" t="s">
        <v>22</v>
      </c>
      <c r="H165" s="159" t="n">
        <v>24</v>
      </c>
      <c r="I165" s="160" t="n">
        <v>23</v>
      </c>
      <c r="J165" s="160" t="n">
        <v>32</v>
      </c>
      <c r="K165" s="140" t="n">
        <v>82869.99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26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18" t="s">
        <v>113</v>
      </c>
      <c r="C167" s="19" t="s">
        <v>20</v>
      </c>
      <c r="D167" s="19"/>
      <c r="E167" s="19" t="s">
        <v>31</v>
      </c>
      <c r="F167" s="36"/>
      <c r="G167" s="146" t="s">
        <v>22</v>
      </c>
      <c r="H167" s="159" t="n">
        <v>16</v>
      </c>
      <c r="I167" s="148" t="n">
        <v>13</v>
      </c>
      <c r="J167" s="148" t="n">
        <v>16</v>
      </c>
      <c r="K167" s="149" t="n">
        <v>32741.22</v>
      </c>
      <c r="L167" s="149" t="n">
        <f aca="false">M167+N167</f>
        <v>32741.22</v>
      </c>
      <c r="M167" s="149" t="n">
        <v>32741.22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57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34" t="s">
        <v>114</v>
      </c>
      <c r="C169" s="35" t="s">
        <v>20</v>
      </c>
      <c r="D169" s="95"/>
      <c r="E169" s="35" t="s">
        <v>25</v>
      </c>
      <c r="F169" s="71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4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 t="s">
        <v>243</v>
      </c>
      <c r="C171" s="219"/>
      <c r="D171" s="19"/>
      <c r="E171" s="19"/>
      <c r="F171" s="20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4062.29</v>
      </c>
      <c r="M171" s="149" t="n">
        <v>4062.29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200</v>
      </c>
      <c r="C173" s="220"/>
      <c r="D173" s="56"/>
      <c r="E173" s="56"/>
      <c r="F173" s="36"/>
      <c r="G173" s="158" t="s">
        <v>22</v>
      </c>
      <c r="H173" s="159" t="n">
        <v>26</v>
      </c>
      <c r="I173" s="160" t="n">
        <v>24</v>
      </c>
      <c r="J173" s="160" t="n">
        <v>29</v>
      </c>
      <c r="K173" s="161" t="n">
        <v>62161.52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57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 t="s">
        <v>115</v>
      </c>
      <c r="C175" s="56" t="s">
        <v>20</v>
      </c>
      <c r="D175" s="56"/>
      <c r="E175" s="56" t="s">
        <v>116</v>
      </c>
      <c r="F175" s="36"/>
      <c r="G175" s="158" t="s">
        <v>22</v>
      </c>
      <c r="H175" s="159" t="n">
        <v>21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55"/>
      <c r="C176" s="55"/>
      <c r="D176" s="55"/>
      <c r="E176" s="55"/>
      <c r="F176" s="42" t="s">
        <v>201</v>
      </c>
      <c r="G176" s="164" t="s">
        <v>26</v>
      </c>
      <c r="H176" s="172" t="n">
        <v>11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18" t="s">
        <v>157</v>
      </c>
      <c r="C177" s="19"/>
      <c r="D177" s="19"/>
      <c r="E177" s="127"/>
      <c r="F177" s="22"/>
      <c r="G177" s="146" t="s">
        <v>22</v>
      </c>
      <c r="H177" s="147" t="n">
        <v>12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18"/>
      <c r="C178" s="18"/>
      <c r="D178" s="18"/>
      <c r="E178" s="127"/>
      <c r="F178" s="26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34" t="s">
        <v>117</v>
      </c>
      <c r="C179" s="35" t="s">
        <v>33</v>
      </c>
      <c r="D179" s="35" t="s">
        <v>118</v>
      </c>
      <c r="E179" s="74" t="s">
        <v>25</v>
      </c>
      <c r="F179" s="89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34"/>
      <c r="C180" s="34"/>
      <c r="D180" s="34"/>
      <c r="E180" s="34"/>
      <c r="F180" s="4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34"/>
      <c r="C181" s="34"/>
      <c r="D181" s="34"/>
      <c r="E181" s="34"/>
      <c r="F181" s="4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119</v>
      </c>
      <c r="C182" s="19" t="s">
        <v>20</v>
      </c>
      <c r="D182" s="19"/>
      <c r="E182" s="19" t="s">
        <v>25</v>
      </c>
      <c r="F182" s="20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203</v>
      </c>
      <c r="G183" s="164" t="s">
        <v>26</v>
      </c>
      <c r="H183" s="175" t="n">
        <v>5</v>
      </c>
      <c r="I183" s="165" t="n">
        <v>2</v>
      </c>
      <c r="J183" s="165" t="n">
        <v>2</v>
      </c>
      <c r="K183" s="166" t="n">
        <v>1812.59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3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225</v>
      </c>
      <c r="C184" s="19"/>
      <c r="D184" s="19"/>
      <c r="E184" s="19"/>
      <c r="F184" s="20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18"/>
      <c r="C185" s="18"/>
      <c r="D185" s="18"/>
      <c r="E185" s="18"/>
      <c r="F185" s="26" t="s">
        <v>244</v>
      </c>
      <c r="G185" s="152" t="s">
        <v>23</v>
      </c>
      <c r="H185" s="176" t="n">
        <v>16</v>
      </c>
      <c r="I185" s="154" t="n">
        <v>12</v>
      </c>
      <c r="J185" s="154" t="n">
        <v>12</v>
      </c>
      <c r="K185" s="155" t="n">
        <v>17230</v>
      </c>
      <c r="L185" s="155" t="n">
        <v>17230</v>
      </c>
      <c r="M185" s="155" t="n">
        <v>17230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55" t="s">
        <v>120</v>
      </c>
      <c r="C186" s="56" t="s">
        <v>20</v>
      </c>
      <c r="D186" s="56"/>
      <c r="E186" s="56" t="s">
        <v>25</v>
      </c>
      <c r="F186" s="36"/>
      <c r="G186" s="158" t="s">
        <v>22</v>
      </c>
      <c r="H186" s="169"/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55"/>
      <c r="C187" s="55"/>
      <c r="D187" s="55"/>
      <c r="E187" s="55"/>
      <c r="F187" s="71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18" t="s">
        <v>158</v>
      </c>
      <c r="C188" s="74"/>
      <c r="D188" s="56" t="s">
        <v>204</v>
      </c>
      <c r="E188" s="74"/>
      <c r="F188" s="53"/>
      <c r="G188" s="146" t="s">
        <v>22</v>
      </c>
      <c r="H188" s="195" t="n">
        <v>1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18"/>
      <c r="C189" s="56"/>
      <c r="D189" s="56"/>
      <c r="E189" s="56"/>
      <c r="F189" s="138" t="s">
        <v>205</v>
      </c>
      <c r="G189" s="152" t="s">
        <v>26</v>
      </c>
      <c r="H189" s="153" t="n">
        <v>7</v>
      </c>
      <c r="I189" s="200" t="n">
        <v>4</v>
      </c>
      <c r="J189" s="200" t="n">
        <v>4</v>
      </c>
      <c r="K189" s="201" t="n">
        <v>6580.06</v>
      </c>
      <c r="L189" s="201" t="n">
        <f aca="false">M189+N189</f>
        <v>1104.6</v>
      </c>
      <c r="M189" s="201" t="n">
        <f aca="false">1104.6</f>
        <v>1104.6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34" t="s">
        <v>152</v>
      </c>
      <c r="C190" s="35" t="s">
        <v>20</v>
      </c>
      <c r="D190" s="35"/>
      <c r="E190" s="35" t="s">
        <v>25</v>
      </c>
      <c r="F190" s="36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206</v>
      </c>
      <c r="G191" s="164" t="s">
        <v>26</v>
      </c>
      <c r="H191" s="171" t="n">
        <v>4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18" t="s">
        <v>122</v>
      </c>
      <c r="C192" s="19" t="s">
        <v>20</v>
      </c>
      <c r="D192" s="19"/>
      <c r="E192" s="19" t="s">
        <v>116</v>
      </c>
      <c r="F192" s="20"/>
      <c r="G192" s="146" t="s">
        <v>22</v>
      </c>
      <c r="H192" s="159" t="n">
        <v>44</v>
      </c>
      <c r="I192" s="148" t="n">
        <v>39</v>
      </c>
      <c r="J192" s="148" t="n">
        <v>56</v>
      </c>
      <c r="K192" s="149" t="n">
        <v>89688.59</v>
      </c>
      <c r="L192" s="149" t="n">
        <f aca="false">M192+N192</f>
        <v>89688.59</v>
      </c>
      <c r="M192" s="149" t="n">
        <v>76981</v>
      </c>
      <c r="N192" s="190" t="n">
        <v>12707.59</v>
      </c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125821.41</v>
      </c>
      <c r="S192" s="190" t="n">
        <v>10347.08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123</v>
      </c>
      <c r="C194" s="35" t="s">
        <v>20</v>
      </c>
      <c r="D194" s="35"/>
      <c r="E194" s="35" t="s">
        <v>25</v>
      </c>
      <c r="F194" s="36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207</v>
      </c>
      <c r="G195" s="164" t="s">
        <v>26</v>
      </c>
      <c r="H195" s="153" t="n">
        <v>9</v>
      </c>
      <c r="I195" s="165" t="n">
        <v>3</v>
      </c>
      <c r="J195" s="165" t="n">
        <v>3</v>
      </c>
      <c r="K195" s="166" t="n">
        <v>3313.8</v>
      </c>
      <c r="L195" s="161" t="n">
        <f aca="false">M195+N195</f>
        <v>2761.5</v>
      </c>
      <c r="M195" s="166" t="n">
        <f aca="false">2761.5</f>
        <v>2761.5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124</v>
      </c>
      <c r="C196" s="19" t="s">
        <v>20</v>
      </c>
      <c r="D196" s="19"/>
      <c r="E196" s="19" t="s">
        <v>88</v>
      </c>
      <c r="F196" s="20"/>
      <c r="G196" s="146" t="s">
        <v>22</v>
      </c>
      <c r="H196" s="159" t="n">
        <v>22</v>
      </c>
      <c r="I196" s="148" t="n">
        <v>14</v>
      </c>
      <c r="J196" s="148" t="n">
        <v>15</v>
      </c>
      <c r="K196" s="149" t="n">
        <v>27094.04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4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208</v>
      </c>
      <c r="C198" s="19"/>
      <c r="D198" s="19"/>
      <c r="E198" s="127"/>
      <c r="F198" s="20"/>
      <c r="G198" s="146" t="s">
        <v>22</v>
      </c>
      <c r="H198" s="173" t="n">
        <v>49</v>
      </c>
      <c r="I198" s="148" t="n">
        <v>31</v>
      </c>
      <c r="J198" s="148" t="n">
        <v>31</v>
      </c>
      <c r="K198" s="149" t="n">
        <v>37033.57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28"/>
      <c r="F199" s="26" t="s">
        <v>246</v>
      </c>
      <c r="G199" s="152" t="s">
        <v>23</v>
      </c>
      <c r="H199" s="174" t="n">
        <v>14</v>
      </c>
      <c r="I199" s="154" t="n">
        <v>7</v>
      </c>
      <c r="J199" s="154" t="n">
        <v>7</v>
      </c>
      <c r="K199" s="155" t="n">
        <v>6375.01</v>
      </c>
      <c r="L199" s="155" t="n">
        <f aca="false">M199+N199</f>
        <v>6375.01</v>
      </c>
      <c r="M199" s="155" t="n">
        <v>6375.01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125</v>
      </c>
      <c r="C200" s="35" t="s">
        <v>33</v>
      </c>
      <c r="D200" s="35" t="s">
        <v>126</v>
      </c>
      <c r="E200" s="35" t="s">
        <v>127</v>
      </c>
      <c r="F200" s="36"/>
      <c r="G200" s="158" t="s">
        <v>22</v>
      </c>
      <c r="H200" s="159" t="n">
        <v>19</v>
      </c>
      <c r="I200" s="160" t="n">
        <v>11</v>
      </c>
      <c r="J200" s="160" t="n">
        <v>15</v>
      </c>
      <c r="K200" s="161" t="n">
        <v>45075.64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/>
      <c r="G201" s="164" t="s">
        <v>23</v>
      </c>
      <c r="H201" s="171" t="n">
        <v>34</v>
      </c>
      <c r="I201" s="165" t="n">
        <v>15</v>
      </c>
      <c r="J201" s="165" t="n">
        <v>15</v>
      </c>
      <c r="K201" s="166" t="n">
        <v>32666.09</v>
      </c>
      <c r="L201" s="166" t="n">
        <v>28413.38</v>
      </c>
      <c r="M201" s="166" t="n">
        <v>28413.38</v>
      </c>
      <c r="N201" s="156"/>
      <c r="O201" s="168" t="n">
        <v>16</v>
      </c>
      <c r="P201" s="166" t="n">
        <v>44153.02</v>
      </c>
      <c r="Q201" s="166" t="n">
        <v>44153.02</v>
      </c>
      <c r="R201" s="166" t="n">
        <v>44153.02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128</v>
      </c>
      <c r="C202" s="19" t="s">
        <v>20</v>
      </c>
      <c r="D202" s="19"/>
      <c r="E202" s="19" t="s">
        <v>25</v>
      </c>
      <c r="F202" s="20"/>
      <c r="G202" s="146" t="s">
        <v>22</v>
      </c>
      <c r="H202" s="159" t="n">
        <v>28</v>
      </c>
      <c r="I202" s="148" t="n">
        <v>25</v>
      </c>
      <c r="J202" s="148" t="n">
        <v>30</v>
      </c>
      <c r="K202" s="149" t="n">
        <v>31480.96</v>
      </c>
      <c r="L202" s="149" t="n">
        <f aca="false">M202+N202</f>
        <v>23180.8</v>
      </c>
      <c r="M202" s="149" t="n">
        <v>23180.8</v>
      </c>
      <c r="N202" s="190"/>
      <c r="O202" s="151" t="n">
        <v>25</v>
      </c>
      <c r="P202" s="149" t="n">
        <v>47491.14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227</v>
      </c>
      <c r="C204" s="19"/>
      <c r="D204" s="19"/>
      <c r="E204" s="19"/>
      <c r="F204" s="20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71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296</v>
      </c>
      <c r="C206" s="19"/>
      <c r="D206" s="19"/>
      <c r="E206" s="19" t="s">
        <v>25</v>
      </c>
      <c r="F206" s="20"/>
      <c r="G206" s="146" t="s">
        <v>22</v>
      </c>
      <c r="H206" s="173" t="n">
        <v>2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57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34" t="s">
        <v>129</v>
      </c>
      <c r="C208" s="35" t="s">
        <v>38</v>
      </c>
      <c r="D208" s="35" t="s">
        <v>130</v>
      </c>
      <c r="E208" s="35" t="s">
        <v>25</v>
      </c>
      <c r="F208" s="36"/>
      <c r="G208" s="158" t="s">
        <v>22</v>
      </c>
      <c r="H208" s="159" t="n">
        <v>18</v>
      </c>
      <c r="I208" s="160" t="n">
        <v>15</v>
      </c>
      <c r="J208" s="160" t="n">
        <v>15</v>
      </c>
      <c r="K208" s="161" t="n">
        <v>14489.92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34"/>
      <c r="C209" s="34"/>
      <c r="D209" s="34"/>
      <c r="E209" s="34"/>
      <c r="F209" s="42" t="s">
        <v>209</v>
      </c>
      <c r="G209" s="164" t="s">
        <v>26</v>
      </c>
      <c r="H209" s="153" t="n">
        <v>6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18" t="s">
        <v>131</v>
      </c>
      <c r="C210" s="19" t="s">
        <v>38</v>
      </c>
      <c r="D210" s="19" t="s">
        <v>130</v>
      </c>
      <c r="E210" s="19" t="s">
        <v>25</v>
      </c>
      <c r="F210" s="20"/>
      <c r="G210" s="146" t="s">
        <v>22</v>
      </c>
      <c r="H210" s="159" t="n">
        <v>13</v>
      </c>
      <c r="I210" s="148" t="n">
        <v>10</v>
      </c>
      <c r="J210" s="148" t="n">
        <v>19</v>
      </c>
      <c r="K210" s="149" t="n">
        <v>61129.28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18"/>
      <c r="C211" s="18"/>
      <c r="D211" s="18"/>
      <c r="E211" s="18"/>
      <c r="F211" s="26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34" t="s">
        <v>132</v>
      </c>
      <c r="C212" s="35" t="s">
        <v>20</v>
      </c>
      <c r="D212" s="35"/>
      <c r="E212" s="35" t="s">
        <v>69</v>
      </c>
      <c r="F212" s="38"/>
      <c r="G212" s="146" t="s">
        <v>22</v>
      </c>
      <c r="H212" s="159" t="n">
        <v>18</v>
      </c>
      <c r="I212" s="160" t="n">
        <v>13</v>
      </c>
      <c r="J212" s="160" t="n">
        <v>22</v>
      </c>
      <c r="K212" s="161" t="n">
        <v>48466.94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34"/>
      <c r="C213" s="34"/>
      <c r="D213" s="34"/>
      <c r="E213" s="34"/>
      <c r="F213" s="42" t="s">
        <v>211</v>
      </c>
      <c r="G213" s="164" t="s">
        <v>26</v>
      </c>
      <c r="H213" s="153" t="n">
        <v>11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133</v>
      </c>
      <c r="C214" s="74" t="s">
        <v>20</v>
      </c>
      <c r="D214" s="74"/>
      <c r="E214" s="74" t="s">
        <v>25</v>
      </c>
      <c r="F214" s="22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7984.73</v>
      </c>
      <c r="M214" s="149" t="n">
        <v>7984.73</v>
      </c>
      <c r="N214" s="190"/>
      <c r="O214" s="151" t="n">
        <v>3</v>
      </c>
      <c r="P214" s="149" t="n">
        <v>5504.35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73"/>
      <c r="C215" s="73"/>
      <c r="D215" s="73"/>
      <c r="E215" s="73"/>
      <c r="F215" s="42" t="s">
        <v>212</v>
      </c>
      <c r="G215" s="164" t="s">
        <v>26</v>
      </c>
      <c r="H215" s="171" t="n">
        <v>4</v>
      </c>
      <c r="I215" s="165" t="n">
        <v>1</v>
      </c>
      <c r="J215" s="165" t="n">
        <v>1</v>
      </c>
      <c r="K215" s="166" t="n">
        <v>1409.6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73" t="s">
        <v>134</v>
      </c>
      <c r="C216" s="74" t="s">
        <v>20</v>
      </c>
      <c r="D216" s="74"/>
      <c r="E216" s="74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73"/>
      <c r="C217" s="73"/>
      <c r="D217" s="73"/>
      <c r="E217" s="73"/>
      <c r="F217" s="4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18" t="s">
        <v>135</v>
      </c>
      <c r="C218" s="19" t="s">
        <v>20</v>
      </c>
      <c r="D218" s="19"/>
      <c r="E218" s="19" t="s">
        <v>69</v>
      </c>
      <c r="F218" s="22"/>
      <c r="G218" s="146" t="s">
        <v>22</v>
      </c>
      <c r="H218" s="159" t="n">
        <v>21</v>
      </c>
      <c r="I218" s="148" t="n">
        <v>11</v>
      </c>
      <c r="J218" s="148" t="n">
        <v>13</v>
      </c>
      <c r="K218" s="149" t="n">
        <v>24275.69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277</v>
      </c>
      <c r="G219" s="152" t="s">
        <v>26</v>
      </c>
      <c r="H219" s="171" t="n">
        <v>9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136</v>
      </c>
      <c r="C220" s="35" t="s">
        <v>20</v>
      </c>
      <c r="D220" s="35"/>
      <c r="E220" s="35" t="s">
        <v>98</v>
      </c>
      <c r="F220" s="36"/>
      <c r="G220" s="146" t="s">
        <v>22</v>
      </c>
      <c r="H220" s="159" t="n">
        <v>24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137</v>
      </c>
      <c r="C222" s="19" t="s">
        <v>20</v>
      </c>
      <c r="D222" s="19"/>
      <c r="E222" s="19" t="s">
        <v>25</v>
      </c>
      <c r="F222" s="20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18"/>
      <c r="C223" s="18"/>
      <c r="D223" s="18"/>
      <c r="E223" s="18"/>
      <c r="F223" s="26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138</v>
      </c>
      <c r="C224" s="56" t="s">
        <v>33</v>
      </c>
      <c r="D224" s="56" t="s">
        <v>139</v>
      </c>
      <c r="E224" s="56" t="s">
        <v>25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34" t="s">
        <v>140</v>
      </c>
      <c r="C226" s="35" t="s">
        <v>20</v>
      </c>
      <c r="D226" s="35"/>
      <c r="E226" s="35" t="s">
        <v>141</v>
      </c>
      <c r="F226" s="36"/>
      <c r="G226" s="146" t="s">
        <v>22</v>
      </c>
      <c r="H226" s="159" t="n">
        <v>23</v>
      </c>
      <c r="I226" s="160" t="n">
        <v>18</v>
      </c>
      <c r="J226" s="160" t="n">
        <v>29</v>
      </c>
      <c r="K226" s="161" t="n">
        <v>45981.11</v>
      </c>
      <c r="L226" s="161" t="n">
        <f aca="false">M226+N226</f>
        <v>45981.11</v>
      </c>
      <c r="M226" s="161" t="n">
        <v>45981.11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215</v>
      </c>
      <c r="G227" s="164" t="s">
        <v>26</v>
      </c>
      <c r="H227" s="175" t="n">
        <v>2</v>
      </c>
      <c r="I227" s="165"/>
      <c r="J227" s="165"/>
      <c r="K227" s="166"/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251</v>
      </c>
      <c r="C228" s="19" t="s">
        <v>20</v>
      </c>
      <c r="D228" s="19"/>
      <c r="E228" s="19" t="s">
        <v>116</v>
      </c>
      <c r="F228" s="20"/>
      <c r="G228" s="146" t="s">
        <v>22</v>
      </c>
      <c r="H228" s="173" t="n">
        <v>6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252</v>
      </c>
      <c r="G229" s="152" t="s">
        <v>26</v>
      </c>
      <c r="H229" s="174" t="n">
        <v>9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142</v>
      </c>
      <c r="C230" s="56" t="s">
        <v>20</v>
      </c>
      <c r="D230" s="56"/>
      <c r="E230" s="56" t="s">
        <v>25</v>
      </c>
      <c r="F230" s="36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42" t="s">
        <v>216</v>
      </c>
      <c r="G231" s="164" t="s">
        <v>26</v>
      </c>
      <c r="H231" s="177" t="n">
        <v>9</v>
      </c>
      <c r="I231" s="165" t="n">
        <v>5</v>
      </c>
      <c r="J231" s="165" t="n">
        <v>5</v>
      </c>
      <c r="K231" s="166" t="n">
        <v>10225.1</v>
      </c>
      <c r="L231" s="166" t="n">
        <f aca="false">M231+N231</f>
        <v>5990.8</v>
      </c>
      <c r="M231" s="166" t="n">
        <f aca="false">5167.21+823.59</f>
        <v>5990.8</v>
      </c>
      <c r="N231" s="167"/>
      <c r="O231" s="238" t="n">
        <v>14</v>
      </c>
      <c r="P231" s="166" t="n">
        <v>14903.5</v>
      </c>
      <c r="Q231" s="166" t="n">
        <f aca="false">R231+S231</f>
        <v>14903.5</v>
      </c>
      <c r="R231" s="166" t="n">
        <f aca="false">14903.5</f>
        <v>14903.5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287</v>
      </c>
      <c r="C232" s="56" t="s">
        <v>20</v>
      </c>
      <c r="D232" s="19"/>
      <c r="E232" s="56" t="s">
        <v>25</v>
      </c>
      <c r="F232" s="20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288</v>
      </c>
      <c r="G233" s="152" t="s">
        <v>26</v>
      </c>
      <c r="H233" s="176" t="n">
        <v>8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34" t="s">
        <v>143</v>
      </c>
      <c r="C234" s="35" t="s">
        <v>20</v>
      </c>
      <c r="D234" s="35"/>
      <c r="E234" s="35" t="s">
        <v>25</v>
      </c>
      <c r="F234" s="36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34"/>
      <c r="C235" s="34"/>
      <c r="D235" s="34"/>
      <c r="E235" s="34"/>
      <c r="F235" s="42" t="s">
        <v>217</v>
      </c>
      <c r="G235" s="164" t="s">
        <v>26</v>
      </c>
      <c r="H235" s="171" t="n">
        <v>9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144</v>
      </c>
      <c r="C236" s="19" t="s">
        <v>20</v>
      </c>
      <c r="D236" s="19"/>
      <c r="E236" s="19" t="s">
        <v>81</v>
      </c>
      <c r="F236" s="20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34" t="s">
        <v>145</v>
      </c>
      <c r="C238" s="35" t="s">
        <v>20</v>
      </c>
      <c r="D238" s="35"/>
      <c r="E238" s="35" t="s">
        <v>98</v>
      </c>
      <c r="F238" s="36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34"/>
      <c r="C239" s="34"/>
      <c r="D239" s="34"/>
      <c r="E239" s="34"/>
      <c r="F239" s="71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146</v>
      </c>
      <c r="C240" s="19" t="s">
        <v>20</v>
      </c>
      <c r="D240" s="19"/>
      <c r="E240" s="19" t="s">
        <v>25</v>
      </c>
      <c r="F240" s="22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13677.7</v>
      </c>
      <c r="M240" s="149" t="n">
        <v>13677.7</v>
      </c>
      <c r="N240" s="190"/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42" t="s">
        <v>219</v>
      </c>
      <c r="G241" s="164" t="s">
        <v>26</v>
      </c>
      <c r="H241" s="178" t="n">
        <v>6</v>
      </c>
      <c r="I241" s="165" t="n">
        <v>5</v>
      </c>
      <c r="J241" s="165" t="n">
        <v>5</v>
      </c>
      <c r="K241" s="166" t="n">
        <v>9225.65</v>
      </c>
      <c r="L241" s="166" t="n">
        <f aca="false">M241+N241</f>
        <v>3150.65</v>
      </c>
      <c r="M241" s="166" t="n">
        <f aca="false">3150.65</f>
        <v>3150.65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18" t="s">
        <v>289</v>
      </c>
      <c r="C242" s="19"/>
      <c r="D242" s="19"/>
      <c r="E242" s="19"/>
      <c r="F242" s="20"/>
      <c r="G242" s="146" t="s">
        <v>22</v>
      </c>
      <c r="H242" s="173" t="n">
        <v>7</v>
      </c>
      <c r="I242" s="148" t="n">
        <v>6</v>
      </c>
      <c r="J242" s="148" t="n">
        <v>10</v>
      </c>
      <c r="K242" s="149" t="n">
        <v>10180.58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18"/>
      <c r="C243" s="18"/>
      <c r="D243" s="18"/>
      <c r="E243" s="18"/>
      <c r="F243" s="57"/>
      <c r="G243" s="152" t="s">
        <v>23</v>
      </c>
      <c r="H243" s="174" t="n">
        <v>4</v>
      </c>
      <c r="I243" s="154" t="n">
        <v>2</v>
      </c>
      <c r="J243" s="154" t="n">
        <v>2</v>
      </c>
      <c r="K243" s="155" t="n">
        <v>3743.41</v>
      </c>
      <c r="L243" s="155" t="n">
        <v>2325.84</v>
      </c>
      <c r="M243" s="155" t="n">
        <v>2325.84</v>
      </c>
      <c r="N243" s="226"/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55" t="s">
        <v>147</v>
      </c>
      <c r="C244" s="56" t="s">
        <v>20</v>
      </c>
      <c r="D244" s="56"/>
      <c r="E244" s="56" t="s">
        <v>25</v>
      </c>
      <c r="F244" s="97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55"/>
      <c r="C245" s="55"/>
      <c r="D245" s="55"/>
      <c r="E245" s="55"/>
      <c r="F245" s="42" t="s">
        <v>220</v>
      </c>
      <c r="G245" s="164" t="s">
        <v>26</v>
      </c>
      <c r="H245" s="172" t="n">
        <v>12</v>
      </c>
      <c r="I245" s="165" t="n">
        <v>6</v>
      </c>
      <c r="J245" s="165" t="n">
        <v>7</v>
      </c>
      <c r="K245" s="166" t="n">
        <v>17440.6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18" t="s">
        <v>297</v>
      </c>
      <c r="C246" s="19"/>
      <c r="D246" s="19"/>
      <c r="E246" s="19" t="s">
        <v>25</v>
      </c>
      <c r="F246" s="22"/>
      <c r="G246" s="146" t="s">
        <v>22</v>
      </c>
      <c r="H246" s="173" t="n">
        <v>4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18"/>
      <c r="C247" s="18"/>
      <c r="D247" s="18"/>
      <c r="E247" s="18"/>
      <c r="F247" s="26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55" t="s">
        <v>148</v>
      </c>
      <c r="C248" s="56" t="s">
        <v>20</v>
      </c>
      <c r="D248" s="56"/>
      <c r="E248" s="56" t="s">
        <v>21</v>
      </c>
      <c r="F248" s="38"/>
      <c r="G248" s="158" t="s">
        <v>22</v>
      </c>
      <c r="H248" s="159" t="n">
        <v>3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55"/>
      <c r="C249" s="55"/>
      <c r="D249" s="55"/>
      <c r="E249" s="55"/>
      <c r="F249" s="26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2281</v>
      </c>
      <c r="I250" s="214" t="n">
        <f aca="false">SUM(I9:I249)</f>
        <v>1422</v>
      </c>
      <c r="J250" s="214" t="n">
        <f aca="false">SUM(J9:J249)</f>
        <v>1701</v>
      </c>
      <c r="K250" s="215" t="n">
        <f aca="false">SUM(K9:K249)</f>
        <v>2951501.78</v>
      </c>
      <c r="L250" s="215" t="n">
        <f aca="false">SUM(L9:L249)</f>
        <v>2447902.07</v>
      </c>
      <c r="M250" s="215" t="n">
        <f aca="false">SUM(M9:M249)</f>
        <v>2407387.23</v>
      </c>
      <c r="N250" s="243" t="n">
        <f aca="false">SUM(N9:N249)</f>
        <v>40509.34</v>
      </c>
      <c r="O250" s="244" t="n">
        <f aca="false">SUM(O9:O249)</f>
        <v>1157</v>
      </c>
      <c r="P250" s="245" t="n">
        <f aca="false">SUM(P9:P249)</f>
        <v>4276315.37</v>
      </c>
      <c r="Q250" s="245" t="n">
        <f aca="false">SUM(Q9:Q249)</f>
        <v>3980588.87</v>
      </c>
      <c r="R250" s="245" t="n">
        <f aca="false">SUM(R9:R249)</f>
        <v>3977973.99</v>
      </c>
      <c r="S250" s="246" t="n">
        <f aca="false">SUM(S9:S249)</f>
        <v>10347.08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1541</v>
      </c>
      <c r="H256" s="108" t="n">
        <f aca="false">SUMIF($G$9:$G$249,$F$256,I9:I249)</f>
        <v>1070</v>
      </c>
      <c r="I256" s="108" t="n">
        <f aca="false">SUMIF($G$9:$G$249,$F$256,J9:J249)</f>
        <v>1345</v>
      </c>
      <c r="J256" s="110" t="n">
        <f aca="false">SUMIF($G$9:$G$249,F256,$K$9:$K$249)</f>
        <v>2355013.92</v>
      </c>
      <c r="K256" s="110" t="n">
        <f aca="false">SUMIF($G$9:$G$249,$F$256,L9:L249)</f>
        <v>1961701.05</v>
      </c>
      <c r="L256" s="110" t="n">
        <f aca="false">SUMIF($G$9:$G$249,$F$256,M9:M249)</f>
        <v>1935117.49</v>
      </c>
      <c r="M256" s="110" t="n">
        <f aca="false">SUMIF($G$9:$G$249,$F$256,N9:N249)</f>
        <v>26583.56</v>
      </c>
      <c r="N256" s="108" t="n">
        <f aca="false">SUMIF($G$9:$G$249,$F$256,O9:O249)</f>
        <v>782</v>
      </c>
      <c r="O256" s="110" t="n">
        <f aca="false">SUMIF($G$9:$G$249,F256,$P$9:$P$249)</f>
        <v>3269170.13</v>
      </c>
      <c r="P256" s="110" t="n">
        <f aca="false">SUMIF($G$9:$G$249,$F$256,Q9:Q249)</f>
        <v>2987582.49</v>
      </c>
      <c r="Q256" s="110" t="n">
        <f aca="false">SUMIF($G$9:$G$249,$F$256,R9:R249)</f>
        <v>2977235.41</v>
      </c>
      <c r="R256" s="110" t="n">
        <f aca="false">SUMIF($G$9:$G$249,$F$256,S9:S249)</f>
        <v>10347.08</v>
      </c>
      <c r="S256" s="110" t="n">
        <f aca="false">Q256+L256</f>
        <v>4912352.9</v>
      </c>
      <c r="T256" s="111" t="n">
        <f aca="false">J256-L256+O256-Q256</f>
        <v>711831.150000001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476</v>
      </c>
      <c r="H257" s="108" t="n">
        <f aca="false">SUMIF($G$9:$G$249,$F$257,I9:I249)</f>
        <v>200</v>
      </c>
      <c r="I257" s="108" t="n">
        <f aca="false">SUMIF($G$9:$G$249,$F$257,J9:J249)</f>
        <v>204</v>
      </c>
      <c r="J257" s="110" t="n">
        <f aca="false">SUMIF($G$9:$G$249,F257,$K$9:$K$249)</f>
        <v>405764.98</v>
      </c>
      <c r="K257" s="110" t="n">
        <f aca="false">SUMIF($G$9:$G$249,$F$257,L9:L249)</f>
        <v>309665.93</v>
      </c>
      <c r="L257" s="110" t="n">
        <f aca="false">SUMIF($G$9:$G$249,$F$257,M9:M249)</f>
        <v>295734.65</v>
      </c>
      <c r="M257" s="110" t="n">
        <f aca="false">SUMIF($G$9:$G$249,$F$257,N9:N249)</f>
        <v>13925.78</v>
      </c>
      <c r="N257" s="108" t="n">
        <f aca="false">SUMIF($G$9:$G$249,$F$257,O9:O249)</f>
        <v>273</v>
      </c>
      <c r="O257" s="110" t="n">
        <f aca="false">SUMIF($G$9:$G$249,F257,$P$9:$P$249)</f>
        <v>789945.29</v>
      </c>
      <c r="P257" s="110" t="n">
        <f aca="false">SUMIF($G$9:$G$249,$F$257,Q9:Q249)</f>
        <v>778205.63</v>
      </c>
      <c r="Q257" s="110" t="n">
        <f aca="false">SUMIF($G$9:$G$249,$F$257,R9:R249)</f>
        <v>785937.83</v>
      </c>
      <c r="R257" s="110" t="n">
        <f aca="false">SUMIF($G$9:$G$249,$F$257,S9:S249)</f>
        <v>0</v>
      </c>
      <c r="S257" s="110" t="n">
        <f aca="false">Q257+L257</f>
        <v>1081672.48</v>
      </c>
      <c r="T257" s="111" t="n">
        <f aca="false">J257-L257+O257-Q257</f>
        <v>114037.79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264</v>
      </c>
      <c r="H258" s="108" t="n">
        <f aca="false">SUMIF($G$9:$G$249,$F$258,I9:I249)</f>
        <v>152</v>
      </c>
      <c r="I258" s="108" t="n">
        <f aca="false">SUMIF($G$9:$G$249,$F$258,J9:J249)</f>
        <v>152</v>
      </c>
      <c r="J258" s="110" t="n">
        <f aca="false">SUMIF($G$9:$G$249,F258,$K$9:$K$249)</f>
        <v>190722.88</v>
      </c>
      <c r="K258" s="110" t="n">
        <f aca="false">SUMIF($G$9:$G$249,$F$258,L9:L249)</f>
        <v>176535.09</v>
      </c>
      <c r="L258" s="110" t="n">
        <f aca="false">SUMIF($G$9:$G$249,$F$258,M9:M249)</f>
        <v>176535.09</v>
      </c>
      <c r="M258" s="110" t="n">
        <f aca="false">SUMIF($G$9:$G$249,$F$258,N9:N249)</f>
        <v>0</v>
      </c>
      <c r="N258" s="108" t="n">
        <f aca="false">SUMIF($G$9:$G$249,$F$258,O9:O249)</f>
        <v>102</v>
      </c>
      <c r="O258" s="110" t="n">
        <f aca="false">SUMIF($G$9:$G$249,F258,$P$9:$P$249)</f>
        <v>217199.95</v>
      </c>
      <c r="P258" s="110" t="n">
        <f aca="false">SUMIF($G$9:$G$249,$F$258,Q9:Q249)</f>
        <v>214800.75</v>
      </c>
      <c r="Q258" s="110" t="n">
        <f aca="false">SUMIF($G$9:$G$249,$F$258,R9:R249)</f>
        <v>214800.75</v>
      </c>
      <c r="R258" s="110" t="n">
        <f aca="false">SUMIF($G$9:$G$249,$F$258,S9:S249)</f>
        <v>0</v>
      </c>
      <c r="S258" s="110" t="n">
        <f aca="false">Q258+L258</f>
        <v>391335.84</v>
      </c>
      <c r="T258" s="111" t="n">
        <f aca="false">J258-L258+O258-Q258</f>
        <v>16586.99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2281</v>
      </c>
      <c r="H259" s="216" t="n">
        <f aca="false">H258+H257+H256</f>
        <v>1422</v>
      </c>
      <c r="I259" s="216" t="n">
        <f aca="false">I258+I257+I256</f>
        <v>1701</v>
      </c>
      <c r="J259" s="217" t="n">
        <f aca="false">J258+J257+J256</f>
        <v>2951501.78</v>
      </c>
      <c r="K259" s="217" t="n">
        <f aca="false">K258+K257+K256</f>
        <v>2447902.07</v>
      </c>
      <c r="L259" s="217" t="n">
        <f aca="false">L258+L257+L256</f>
        <v>2407387.23</v>
      </c>
      <c r="M259" s="217" t="n">
        <f aca="false">M258+M257+M256</f>
        <v>40509.34</v>
      </c>
      <c r="N259" s="216" t="n">
        <f aca="false">N258+N257+N256</f>
        <v>1157</v>
      </c>
      <c r="O259" s="217" t="n">
        <f aca="false">O258+O257+O256</f>
        <v>4276315.37</v>
      </c>
      <c r="P259" s="217" t="n">
        <f aca="false">P258+P257+P256</f>
        <v>3980588.87</v>
      </c>
      <c r="Q259" s="217" t="n">
        <f aca="false">Q258+Q257+Q256</f>
        <v>3977973.99</v>
      </c>
      <c r="R259" s="217" t="n">
        <f aca="false">R258+R257+R256</f>
        <v>10347.08</v>
      </c>
      <c r="S259" s="217" t="n">
        <f aca="false">S258+S257+S256</f>
        <v>6385361.22</v>
      </c>
      <c r="T259" s="217" t="n">
        <f aca="false">T258+T257+T256</f>
        <v>842455.930000001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1541</v>
      </c>
      <c r="H320" s="247" t="n">
        <v>1070</v>
      </c>
      <c r="I320" s="247" t="n">
        <v>1345</v>
      </c>
      <c r="J320" s="0" t="n">
        <v>2355013.92</v>
      </c>
      <c r="K320" s="236"/>
      <c r="N320" s="0" t="n">
        <v>782</v>
      </c>
      <c r="O320" s="0" t="n">
        <v>3269170.13</v>
      </c>
    </row>
    <row r="321" customFormat="false" ht="15" hidden="false" customHeight="false" outlineLevel="0" collapsed="false">
      <c r="G321" s="221" t="n">
        <f aca="false">G256-G320</f>
        <v>0</v>
      </c>
      <c r="H321" s="221" t="n">
        <f aca="false">H256-H320</f>
        <v>0</v>
      </c>
      <c r="I321" s="221" t="n">
        <f aca="false">I256-I320</f>
        <v>0</v>
      </c>
      <c r="J321" s="229" t="n">
        <f aca="false">J256-J320</f>
        <v>0</v>
      </c>
      <c r="K321" s="236"/>
      <c r="N321" s="221" t="n">
        <f aca="false">N256-N320</f>
        <v>0</v>
      </c>
      <c r="O321" s="229" t="n">
        <f aca="false">O256-O320</f>
        <v>0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22"/>
      <c r="I9" s="23"/>
      <c r="J9" s="23"/>
      <c r="K9" s="24" t="n">
        <f aca="false">L9+M9</f>
        <v>0</v>
      </c>
      <c r="L9" s="24"/>
      <c r="M9" s="24"/>
      <c r="N9" s="23" t="n">
        <v>4</v>
      </c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26"/>
      <c r="I10" s="28"/>
      <c r="J10" s="28"/>
      <c r="K10" s="29" t="n">
        <f aca="false">L10+M10</f>
        <v>0</v>
      </c>
      <c r="L10" s="29"/>
      <c r="M10" s="30"/>
      <c r="N10" s="28" t="n">
        <v>1</v>
      </c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38" t="n">
        <v>2</v>
      </c>
      <c r="I11" s="39"/>
      <c r="J11" s="39"/>
      <c r="K11" s="40" t="n">
        <f aca="false">L11+M11</f>
        <v>0</v>
      </c>
      <c r="L11" s="40"/>
      <c r="M11" s="40"/>
      <c r="N11" s="39"/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42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22" t="n">
        <v>5</v>
      </c>
      <c r="I13" s="23" t="n">
        <v>4</v>
      </c>
      <c r="J13" s="23" t="n">
        <v>4</v>
      </c>
      <c r="K13" s="24" t="n">
        <f aca="false">L13+M13</f>
        <v>0</v>
      </c>
      <c r="L13" s="24"/>
      <c r="M13" s="24"/>
      <c r="N13" s="23"/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26"/>
      <c r="I14" s="28"/>
      <c r="J14" s="28"/>
      <c r="K14" s="29" t="n">
        <f aca="false">L14+M14</f>
        <v>0</v>
      </c>
      <c r="L14" s="29"/>
      <c r="M14" s="30"/>
      <c r="N14" s="28" t="n">
        <v>1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38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42" t="n">
        <v>2</v>
      </c>
      <c r="I16" s="45"/>
      <c r="J16" s="45"/>
      <c r="K16" s="46" t="n">
        <f aca="false">L16+M16</f>
        <v>0</v>
      </c>
      <c r="L16" s="46"/>
      <c r="M16" s="47"/>
      <c r="N16" s="45" t="n">
        <v>1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22" t="n">
        <v>4</v>
      </c>
      <c r="I17" s="23"/>
      <c r="J17" s="23"/>
      <c r="K17" s="24" t="n">
        <f aca="false">L17+M17</f>
        <v>0</v>
      </c>
      <c r="L17" s="24"/>
      <c r="M17" s="24"/>
      <c r="N17" s="23" t="n">
        <v>3</v>
      </c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26" t="n">
        <v>1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38" t="n">
        <v>7</v>
      </c>
      <c r="I19" s="39" t="n">
        <v>3</v>
      </c>
      <c r="J19" s="39" t="n">
        <v>4</v>
      </c>
      <c r="K19" s="40" t="n">
        <f aca="false">L19+M19</f>
        <v>0</v>
      </c>
      <c r="L19" s="40"/>
      <c r="M19" s="40"/>
      <c r="N19" s="39" t="n">
        <v>5</v>
      </c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26" t="n">
        <v>1</v>
      </c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38" t="n">
        <v>6</v>
      </c>
      <c r="I21" s="61" t="n">
        <v>1</v>
      </c>
      <c r="J21" s="61" t="n">
        <v>1</v>
      </c>
      <c r="K21" s="62" t="n">
        <f aca="false">L21+M21</f>
        <v>0</v>
      </c>
      <c r="L21" s="62"/>
      <c r="M21" s="62"/>
      <c r="N21" s="61" t="n">
        <v>1</v>
      </c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42"/>
      <c r="I22" s="64"/>
      <c r="J22" s="64"/>
      <c r="K22" s="65" t="n">
        <f aca="false">L22+M22</f>
        <v>0</v>
      </c>
      <c r="L22" s="65"/>
      <c r="M22" s="65"/>
      <c r="N22" s="64" t="n">
        <v>2</v>
      </c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22" t="n">
        <v>1</v>
      </c>
      <c r="I23" s="67"/>
      <c r="J23" s="67"/>
      <c r="K23" s="68" t="n">
        <f aca="false">L23+M23</f>
        <v>0</v>
      </c>
      <c r="L23" s="68"/>
      <c r="M23" s="68"/>
      <c r="N23" s="67" t="n">
        <v>2</v>
      </c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26"/>
      <c r="G24" s="27" t="s">
        <v>26</v>
      </c>
      <c r="H24" s="26"/>
      <c r="I24" s="58"/>
      <c r="J24" s="58"/>
      <c r="K24" s="59" t="n">
        <f aca="false">L24+M24</f>
        <v>0</v>
      </c>
      <c r="L24" s="59"/>
      <c r="M24" s="59"/>
      <c r="N24" s="58" t="n">
        <v>2</v>
      </c>
      <c r="O24" s="59" t="n">
        <f aca="false">P24+Q24</f>
        <v>0</v>
      </c>
      <c r="P24" s="59"/>
      <c r="Q24" s="60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40</v>
      </c>
      <c r="C25" s="19" t="s">
        <v>38</v>
      </c>
      <c r="D25" s="19" t="s">
        <v>41</v>
      </c>
      <c r="E25" s="19" t="s">
        <v>42</v>
      </c>
      <c r="F25" s="20"/>
      <c r="G25" s="21" t="s">
        <v>22</v>
      </c>
      <c r="H25" s="22"/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26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5.75" hidden="false" customHeight="true" outlineLevel="0" collapsed="false">
      <c r="A27" s="54"/>
      <c r="B27" s="55" t="s">
        <v>43</v>
      </c>
      <c r="C27" s="56" t="s">
        <v>33</v>
      </c>
      <c r="D27" s="56" t="s">
        <v>44</v>
      </c>
      <c r="E27" s="56" t="s">
        <v>45</v>
      </c>
      <c r="F27" s="36"/>
      <c r="G27" s="21" t="s">
        <v>22</v>
      </c>
      <c r="H27" s="38" t="n">
        <v>3</v>
      </c>
      <c r="I27" s="61" t="n">
        <v>2</v>
      </c>
      <c r="J27" s="61" t="n">
        <v>2</v>
      </c>
      <c r="K27" s="62" t="n">
        <v>0</v>
      </c>
      <c r="L27" s="62"/>
      <c r="M27" s="62"/>
      <c r="N27" s="61" t="n">
        <v>6</v>
      </c>
      <c r="O27" s="62" t="n">
        <f aca="false">P27+Q27</f>
        <v>0</v>
      </c>
      <c r="P27" s="62"/>
      <c r="Q27" s="63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customFormat="false" ht="15.75" hidden="false" customHeight="true" outlineLevel="0" collapsed="false">
      <c r="A28" s="54"/>
      <c r="B28" s="55"/>
      <c r="C28" s="55"/>
      <c r="D28" s="55"/>
      <c r="E28" s="55"/>
      <c r="F28" s="26"/>
      <c r="G28" s="27" t="s">
        <v>26</v>
      </c>
      <c r="H28" s="26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" hidden="false" customHeight="true" outlineLevel="0" collapsed="false">
      <c r="A29" s="33"/>
      <c r="B29" s="34" t="s">
        <v>46</v>
      </c>
      <c r="C29" s="35" t="s">
        <v>20</v>
      </c>
      <c r="D29" s="35"/>
      <c r="E29" s="35" t="s">
        <v>25</v>
      </c>
      <c r="F29" s="36"/>
      <c r="G29" s="21" t="s">
        <v>22</v>
      </c>
      <c r="H29" s="38" t="n">
        <v>2</v>
      </c>
      <c r="I29" s="61" t="n">
        <v>1</v>
      </c>
      <c r="J29" s="61" t="n">
        <v>1</v>
      </c>
      <c r="K29" s="62" t="n">
        <f aca="false">L29+M29</f>
        <v>0</v>
      </c>
      <c r="L29" s="62"/>
      <c r="M29" s="62"/>
      <c r="N29" s="61" t="n">
        <v>4</v>
      </c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5.75" hidden="false" customHeight="true" outlineLevel="0" collapsed="false">
      <c r="A30" s="33"/>
      <c r="B30" s="34"/>
      <c r="C30" s="34"/>
      <c r="D30" s="34"/>
      <c r="E30" s="34"/>
      <c r="F30" s="71"/>
      <c r="G30" s="43" t="s">
        <v>26</v>
      </c>
      <c r="H30" s="42"/>
      <c r="I30" s="64"/>
      <c r="J30" s="64"/>
      <c r="K30" s="65" t="n">
        <f aca="false">L30+M30</f>
        <v>0</v>
      </c>
      <c r="L30" s="65"/>
      <c r="M30" s="65"/>
      <c r="N30" s="64"/>
      <c r="O30" s="65" t="n">
        <f aca="false">P30+Q30</f>
        <v>0</v>
      </c>
      <c r="P30" s="65"/>
      <c r="Q30" s="66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72"/>
      <c r="B31" s="73" t="s">
        <v>47</v>
      </c>
      <c r="C31" s="74" t="s">
        <v>20</v>
      </c>
      <c r="D31" s="74"/>
      <c r="E31" s="75" t="s">
        <v>25</v>
      </c>
      <c r="F31" s="22"/>
      <c r="G31" s="21" t="s">
        <v>22</v>
      </c>
      <c r="H31" s="76" t="n">
        <v>1</v>
      </c>
      <c r="I31" s="67"/>
      <c r="J31" s="67"/>
      <c r="K31" s="68" t="n">
        <f aca="false">L31+M31</f>
        <v>0</v>
      </c>
      <c r="L31" s="68"/>
      <c r="M31" s="68"/>
      <c r="N31" s="67"/>
      <c r="O31" s="68" t="n">
        <f aca="false">P31+Q31</f>
        <v>0</v>
      </c>
      <c r="P31" s="68"/>
      <c r="Q31" s="69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72"/>
      <c r="B32" s="73"/>
      <c r="C32" s="73"/>
      <c r="D32" s="73"/>
      <c r="E32" s="75"/>
      <c r="F32" s="42"/>
      <c r="G32" s="43" t="s">
        <v>26</v>
      </c>
      <c r="H32" s="77" t="n">
        <v>3</v>
      </c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17"/>
      <c r="B33" s="18" t="s">
        <v>48</v>
      </c>
      <c r="C33" s="19" t="s">
        <v>20</v>
      </c>
      <c r="D33" s="19"/>
      <c r="E33" s="19" t="s">
        <v>25</v>
      </c>
      <c r="F33" s="20"/>
      <c r="G33" s="21" t="s">
        <v>22</v>
      </c>
      <c r="H33" s="22"/>
      <c r="I33" s="67"/>
      <c r="J33" s="67"/>
      <c r="K33" s="68" t="n">
        <f aca="false">L33+M33</f>
        <v>0</v>
      </c>
      <c r="L33" s="68"/>
      <c r="M33" s="68"/>
      <c r="N33" s="67" t="n">
        <v>1</v>
      </c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17"/>
      <c r="B34" s="18"/>
      <c r="C34" s="18"/>
      <c r="D34" s="18"/>
      <c r="E34" s="18"/>
      <c r="F34" s="26"/>
      <c r="G34" s="27" t="s">
        <v>26</v>
      </c>
      <c r="H34" s="26"/>
      <c r="I34" s="58"/>
      <c r="J34" s="58"/>
      <c r="K34" s="59" t="n">
        <f aca="false">L34+M34</f>
        <v>0</v>
      </c>
      <c r="L34" s="59"/>
      <c r="M34" s="59"/>
      <c r="N34" s="58"/>
      <c r="O34" s="59" t="n">
        <f aca="false">P34+Q34</f>
        <v>0</v>
      </c>
      <c r="P34" s="59"/>
      <c r="Q34" s="60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" hidden="false" customHeight="true" outlineLevel="0" collapsed="false">
      <c r="A35" s="54"/>
      <c r="B35" s="55" t="s">
        <v>49</v>
      </c>
      <c r="C35" s="56" t="s">
        <v>20</v>
      </c>
      <c r="D35" s="78"/>
      <c r="E35" s="56" t="s">
        <v>50</v>
      </c>
      <c r="F35" s="36"/>
      <c r="G35" s="21" t="s">
        <v>22</v>
      </c>
      <c r="H35" s="38"/>
      <c r="I35" s="61"/>
      <c r="J35" s="61"/>
      <c r="K35" s="62" t="n">
        <f aca="false">L35+M35</f>
        <v>0</v>
      </c>
      <c r="L35" s="62"/>
      <c r="M35" s="62"/>
      <c r="N35" s="61"/>
      <c r="O35" s="62" t="n">
        <f aca="false">P35+Q35</f>
        <v>0</v>
      </c>
      <c r="P35" s="62"/>
      <c r="Q35" s="63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57"/>
      <c r="G36" s="27" t="s">
        <v>26</v>
      </c>
      <c r="H36" s="26"/>
      <c r="I36" s="58"/>
      <c r="J36" s="58"/>
      <c r="K36" s="59" t="n">
        <f aca="false">L36+M36</f>
        <v>0</v>
      </c>
      <c r="L36" s="59"/>
      <c r="M36" s="59"/>
      <c r="N36" s="58"/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33"/>
      <c r="B37" s="34" t="s">
        <v>51</v>
      </c>
      <c r="C37" s="35" t="s">
        <v>20</v>
      </c>
      <c r="D37" s="35"/>
      <c r="E37" s="35" t="s">
        <v>52</v>
      </c>
      <c r="F37" s="36"/>
      <c r="G37" s="21" t="s">
        <v>22</v>
      </c>
      <c r="H37" s="38"/>
      <c r="I37" s="61"/>
      <c r="J37" s="61"/>
      <c r="K37" s="62" t="n">
        <f aca="false">L37+M37</f>
        <v>0</v>
      </c>
      <c r="L37" s="62"/>
      <c r="M37" s="62"/>
      <c r="N37" s="61" t="n">
        <v>1</v>
      </c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43" t="s">
        <v>26</v>
      </c>
      <c r="H38" s="42"/>
      <c r="I38" s="64"/>
      <c r="J38" s="64"/>
      <c r="K38" s="65" t="n">
        <f aca="false">L38+M38</f>
        <v>0</v>
      </c>
      <c r="L38" s="65"/>
      <c r="M38" s="65"/>
      <c r="N38" s="64"/>
      <c r="O38" s="65" t="n">
        <f aca="false">P38+Q38</f>
        <v>0</v>
      </c>
      <c r="P38" s="65"/>
      <c r="Q38" s="66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17"/>
      <c r="B39" s="18" t="s">
        <v>53</v>
      </c>
      <c r="C39" s="19" t="s">
        <v>33</v>
      </c>
      <c r="D39" s="19" t="s">
        <v>54</v>
      </c>
      <c r="E39" s="19" t="s">
        <v>42</v>
      </c>
      <c r="F39" s="20"/>
      <c r="G39" s="21" t="s">
        <v>22</v>
      </c>
      <c r="H39" s="22" t="n">
        <v>4</v>
      </c>
      <c r="I39" s="67" t="n">
        <v>1</v>
      </c>
      <c r="J39" s="67" t="n">
        <v>1</v>
      </c>
      <c r="K39" s="68" t="n">
        <f aca="false">L39+M39</f>
        <v>0</v>
      </c>
      <c r="L39" s="68"/>
      <c r="M39" s="68"/>
      <c r="N39" s="67" t="n">
        <v>10</v>
      </c>
      <c r="O39" s="68" t="n">
        <f aca="false">P39+Q39</f>
        <v>0</v>
      </c>
      <c r="P39" s="68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17"/>
      <c r="B40" s="18"/>
      <c r="C40" s="18"/>
      <c r="D40" s="18"/>
      <c r="E40" s="18"/>
      <c r="F40" s="57"/>
      <c r="G40" s="27" t="s">
        <v>23</v>
      </c>
      <c r="H40" s="26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55</v>
      </c>
      <c r="C41" s="35" t="s">
        <v>20</v>
      </c>
      <c r="D41" s="35"/>
      <c r="E41" s="35" t="s">
        <v>25</v>
      </c>
      <c r="F41" s="38"/>
      <c r="G41" s="21" t="s">
        <v>22</v>
      </c>
      <c r="H41" s="38"/>
      <c r="I41" s="61"/>
      <c r="J41" s="61"/>
      <c r="K41" s="62" t="n">
        <f aca="false">L41+M41</f>
        <v>0</v>
      </c>
      <c r="L41" s="62"/>
      <c r="M41" s="62"/>
      <c r="N41" s="61"/>
      <c r="O41" s="62" t="n">
        <f aca="false">P41+Q41</f>
        <v>0</v>
      </c>
      <c r="P41" s="62"/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42"/>
      <c r="G42" s="43" t="s">
        <v>26</v>
      </c>
      <c r="H42" s="42" t="n">
        <v>2</v>
      </c>
      <c r="I42" s="64"/>
      <c r="J42" s="64"/>
      <c r="K42" s="65" t="n">
        <f aca="false">L42+M42</f>
        <v>0</v>
      </c>
      <c r="L42" s="65"/>
      <c r="M42" s="65"/>
      <c r="N42" s="64" t="n">
        <v>1</v>
      </c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.75" hidden="false" customHeight="true" outlineLevel="0" collapsed="false">
      <c r="A43" s="17"/>
      <c r="B43" s="18" t="s">
        <v>56</v>
      </c>
      <c r="C43" s="19" t="s">
        <v>33</v>
      </c>
      <c r="D43" s="19" t="s">
        <v>57</v>
      </c>
      <c r="E43" s="19" t="s">
        <v>25</v>
      </c>
      <c r="F43" s="20"/>
      <c r="G43" s="21" t="s">
        <v>22</v>
      </c>
      <c r="H43" s="22" t="n">
        <v>1</v>
      </c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/>
      <c r="G44" s="27" t="s">
        <v>26</v>
      </c>
      <c r="H44" s="26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58</v>
      </c>
      <c r="C45" s="35" t="s">
        <v>20</v>
      </c>
      <c r="D45" s="35"/>
      <c r="E45" s="35" t="s">
        <v>52</v>
      </c>
      <c r="F45" s="36"/>
      <c r="G45" s="21" t="s">
        <v>22</v>
      </c>
      <c r="H45" s="38" t="n">
        <v>1</v>
      </c>
      <c r="I45" s="61"/>
      <c r="J45" s="61"/>
      <c r="K45" s="62" t="n">
        <f aca="false">L45+M45</f>
        <v>0</v>
      </c>
      <c r="L45" s="62"/>
      <c r="M45" s="62"/>
      <c r="N45" s="61" t="n">
        <v>2</v>
      </c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43" t="s">
        <v>26</v>
      </c>
      <c r="H46" s="42"/>
      <c r="I46" s="64"/>
      <c r="J46" s="64"/>
      <c r="K46" s="65" t="n">
        <f aca="false">L46+M46</f>
        <v>0</v>
      </c>
      <c r="L46" s="65"/>
      <c r="M46" s="65"/>
      <c r="N46" s="64"/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72"/>
      <c r="B47" s="73" t="s">
        <v>59</v>
      </c>
      <c r="C47" s="74" t="s">
        <v>20</v>
      </c>
      <c r="D47" s="79"/>
      <c r="E47" s="74" t="s">
        <v>25</v>
      </c>
      <c r="F47" s="22"/>
      <c r="G47" s="21" t="s">
        <v>22</v>
      </c>
      <c r="H47" s="22"/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72"/>
      <c r="B48" s="73"/>
      <c r="C48" s="73"/>
      <c r="D48" s="73"/>
      <c r="E48" s="73"/>
      <c r="F48" s="71"/>
      <c r="G48" s="43" t="s">
        <v>26</v>
      </c>
      <c r="H48" s="42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60</v>
      </c>
      <c r="C49" s="19" t="s">
        <v>20</v>
      </c>
      <c r="D49" s="19"/>
      <c r="E49" s="19" t="s">
        <v>21</v>
      </c>
      <c r="F49" s="22"/>
      <c r="G49" s="21" t="s">
        <v>22</v>
      </c>
      <c r="H49" s="22"/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57"/>
      <c r="G50" s="27" t="s">
        <v>23</v>
      </c>
      <c r="H50" s="26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.75" hidden="false" customHeight="true" outlineLevel="0" collapsed="false">
      <c r="A51" s="33"/>
      <c r="B51" s="34" t="s">
        <v>61</v>
      </c>
      <c r="C51" s="35" t="s">
        <v>33</v>
      </c>
      <c r="D51" s="56" t="s">
        <v>62</v>
      </c>
      <c r="E51" s="35" t="s">
        <v>25</v>
      </c>
      <c r="F51" s="36"/>
      <c r="G51" s="21" t="s">
        <v>22</v>
      </c>
      <c r="H51" s="38" t="n">
        <v>2</v>
      </c>
      <c r="I51" s="61" t="n">
        <v>1</v>
      </c>
      <c r="J51" s="61" t="n">
        <v>1</v>
      </c>
      <c r="K51" s="62" t="n">
        <f aca="false">L51+M51</f>
        <v>0</v>
      </c>
      <c r="L51" s="62"/>
      <c r="M51" s="62"/>
      <c r="N51" s="61"/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56"/>
      <c r="E52" s="35"/>
      <c r="F52" s="42"/>
      <c r="G52" s="43" t="s">
        <v>26</v>
      </c>
      <c r="H52" s="42"/>
      <c r="I52" s="64"/>
      <c r="J52" s="64"/>
      <c r="K52" s="65" t="n">
        <f aca="false">L52+M52</f>
        <v>0</v>
      </c>
      <c r="L52" s="65"/>
      <c r="M52" s="65"/>
      <c r="N52" s="64" t="n">
        <v>2</v>
      </c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.75" hidden="false" customHeight="true" outlineLevel="0" collapsed="false">
      <c r="A53" s="72"/>
      <c r="B53" s="73" t="s">
        <v>63</v>
      </c>
      <c r="C53" s="74" t="s">
        <v>20</v>
      </c>
      <c r="D53" s="74"/>
      <c r="E53" s="74" t="s">
        <v>25</v>
      </c>
      <c r="F53" s="20"/>
      <c r="G53" s="21" t="s">
        <v>22</v>
      </c>
      <c r="H53" s="22"/>
      <c r="I53" s="67"/>
      <c r="J53" s="67"/>
      <c r="K53" s="68" t="n">
        <f aca="false">L53+M53</f>
        <v>0</v>
      </c>
      <c r="L53" s="68"/>
      <c r="M53" s="68"/>
      <c r="N53" s="67" t="n">
        <v>2</v>
      </c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42"/>
      <c r="G54" s="43" t="s">
        <v>26</v>
      </c>
      <c r="H54" s="42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64</v>
      </c>
      <c r="C55" s="74" t="s">
        <v>20</v>
      </c>
      <c r="D55" s="74"/>
      <c r="E55" s="74" t="s">
        <v>25</v>
      </c>
      <c r="F55" s="20"/>
      <c r="G55" s="21" t="s">
        <v>22</v>
      </c>
      <c r="H55" s="22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42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17"/>
      <c r="B57" s="18" t="s">
        <v>65</v>
      </c>
      <c r="C57" s="19" t="s">
        <v>33</v>
      </c>
      <c r="D57" s="19" t="s">
        <v>66</v>
      </c>
      <c r="E57" s="19" t="s">
        <v>67</v>
      </c>
      <c r="F57" s="20"/>
      <c r="G57" s="21" t="s">
        <v>22</v>
      </c>
      <c r="H57" s="22" t="n">
        <v>2</v>
      </c>
      <c r="I57" s="67" t="n">
        <v>1</v>
      </c>
      <c r="J57" s="67" t="n">
        <v>1</v>
      </c>
      <c r="K57" s="68" t="n">
        <f aca="false">L57+M57</f>
        <v>0</v>
      </c>
      <c r="L57" s="68"/>
      <c r="M57" s="68"/>
      <c r="N57" s="67" t="n">
        <v>2</v>
      </c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26"/>
      <c r="G58" s="27" t="s">
        <v>23</v>
      </c>
      <c r="H58" s="26" t="n">
        <v>3</v>
      </c>
      <c r="I58" s="58"/>
      <c r="J58" s="58"/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68</v>
      </c>
      <c r="C59" s="35" t="s">
        <v>20</v>
      </c>
      <c r="D59" s="35"/>
      <c r="E59" s="35" t="s">
        <v>69</v>
      </c>
      <c r="F59" s="38"/>
      <c r="G59" s="21" t="s">
        <v>22</v>
      </c>
      <c r="H59" s="38"/>
      <c r="I59" s="61"/>
      <c r="J59" s="61"/>
      <c r="K59" s="62" t="n">
        <f aca="false">L59+M59</f>
        <v>0</v>
      </c>
      <c r="L59" s="62"/>
      <c r="M59" s="62"/>
      <c r="N59" s="61" t="n">
        <v>1</v>
      </c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42"/>
      <c r="G60" s="43" t="s">
        <v>26</v>
      </c>
      <c r="H60" s="42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17"/>
      <c r="B61" s="18" t="s">
        <v>70</v>
      </c>
      <c r="C61" s="19" t="s">
        <v>20</v>
      </c>
      <c r="D61" s="19" t="s">
        <v>71</v>
      </c>
      <c r="E61" s="19" t="s">
        <v>25</v>
      </c>
      <c r="F61" s="20"/>
      <c r="G61" s="21" t="s">
        <v>22</v>
      </c>
      <c r="H61" s="22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26"/>
      <c r="G62" s="27" t="s">
        <v>26</v>
      </c>
      <c r="H62" s="26"/>
      <c r="I62" s="58"/>
      <c r="J62" s="58"/>
      <c r="K62" s="59" t="n">
        <f aca="false">L62+M62</f>
        <v>0</v>
      </c>
      <c r="L62" s="59"/>
      <c r="M62" s="59"/>
      <c r="N62" s="58"/>
      <c r="O62" s="59" t="n">
        <f aca="false">P62+Q62</f>
        <v>0</v>
      </c>
      <c r="P62" s="59"/>
      <c r="Q62" s="60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33"/>
      <c r="B63" s="34" t="s">
        <v>72</v>
      </c>
      <c r="C63" s="35" t="s">
        <v>20</v>
      </c>
      <c r="D63" s="35"/>
      <c r="E63" s="35" t="s">
        <v>52</v>
      </c>
      <c r="F63" s="36"/>
      <c r="G63" s="21" t="s">
        <v>22</v>
      </c>
      <c r="H63" s="38" t="n">
        <v>1</v>
      </c>
      <c r="I63" s="61"/>
      <c r="J63" s="61"/>
      <c r="K63" s="62" t="n">
        <f aca="false">L63+M63</f>
        <v>0</v>
      </c>
      <c r="L63" s="62"/>
      <c r="M63" s="62"/>
      <c r="N63" s="61"/>
      <c r="O63" s="62" t="n">
        <f aca="false">P63+Q63</f>
        <v>0</v>
      </c>
      <c r="P63" s="62"/>
      <c r="Q63" s="63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42"/>
      <c r="G64" s="43" t="s">
        <v>26</v>
      </c>
      <c r="H64" s="42" t="n">
        <v>1</v>
      </c>
      <c r="I64" s="64"/>
      <c r="J64" s="64"/>
      <c r="K64" s="65" t="n">
        <f aca="false">L64+M64</f>
        <v>0</v>
      </c>
      <c r="L64" s="65"/>
      <c r="M64" s="65"/>
      <c r="N64" s="64" t="n">
        <v>3</v>
      </c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17"/>
      <c r="B65" s="18" t="s">
        <v>73</v>
      </c>
      <c r="C65" s="19" t="s">
        <v>20</v>
      </c>
      <c r="D65" s="19"/>
      <c r="E65" s="19" t="s">
        <v>52</v>
      </c>
      <c r="F65" s="20"/>
      <c r="G65" s="21" t="s">
        <v>22</v>
      </c>
      <c r="H65" s="22" t="n">
        <v>1</v>
      </c>
      <c r="I65" s="67" t="n">
        <v>1</v>
      </c>
      <c r="J65" s="67" t="n">
        <v>1</v>
      </c>
      <c r="K65" s="68" t="n">
        <f aca="false">L65+M65</f>
        <v>0</v>
      </c>
      <c r="L65" s="68"/>
      <c r="M65" s="68"/>
      <c r="N65" s="67" t="n">
        <v>2</v>
      </c>
      <c r="O65" s="68" t="n">
        <f aca="false">P65+Q65</f>
        <v>0</v>
      </c>
      <c r="P65" s="68"/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26"/>
      <c r="G66" s="27" t="s">
        <v>26</v>
      </c>
      <c r="H66" s="26"/>
      <c r="I66" s="58"/>
      <c r="J66" s="58"/>
      <c r="K66" s="59" t="n">
        <f aca="false">L66+M66</f>
        <v>0</v>
      </c>
      <c r="L66" s="59"/>
      <c r="M66" s="59"/>
      <c r="N66" s="58" t="n">
        <v>1</v>
      </c>
      <c r="O66" s="59" t="n">
        <f aca="false">P66+Q66</f>
        <v>0</v>
      </c>
      <c r="P66" s="59"/>
      <c r="Q66" s="60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33"/>
      <c r="B67" s="34" t="s">
        <v>74</v>
      </c>
      <c r="C67" s="35" t="s">
        <v>33</v>
      </c>
      <c r="D67" s="35" t="s">
        <v>75</v>
      </c>
      <c r="E67" s="35" t="s">
        <v>25</v>
      </c>
      <c r="F67" s="36"/>
      <c r="G67" s="21" t="s">
        <v>22</v>
      </c>
      <c r="H67" s="38" t="n">
        <v>9</v>
      </c>
      <c r="I67" s="61" t="n">
        <v>5</v>
      </c>
      <c r="J67" s="61" t="n">
        <v>5</v>
      </c>
      <c r="K67" s="62" t="n">
        <f aca="false">L67+M67</f>
        <v>0</v>
      </c>
      <c r="L67" s="62"/>
      <c r="M67" s="62"/>
      <c r="N67" s="61" t="n">
        <v>8</v>
      </c>
      <c r="O67" s="62" t="n">
        <f aca="false">P67+Q67</f>
        <v>0</v>
      </c>
      <c r="P67" s="62"/>
      <c r="Q67" s="63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42"/>
      <c r="G68" s="43" t="s">
        <v>26</v>
      </c>
      <c r="H68" s="42"/>
      <c r="I68" s="64"/>
      <c r="J68" s="64"/>
      <c r="K68" s="65" t="n">
        <f aca="false">L68+M68</f>
        <v>0</v>
      </c>
      <c r="L68" s="65"/>
      <c r="M68" s="65"/>
      <c r="N68" s="64" t="n">
        <v>1</v>
      </c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76</v>
      </c>
      <c r="C69" s="74" t="s">
        <v>20</v>
      </c>
      <c r="D69" s="74"/>
      <c r="E69" s="74" t="s">
        <v>25</v>
      </c>
      <c r="F69" s="20"/>
      <c r="G69" s="21" t="s">
        <v>22</v>
      </c>
      <c r="H69" s="22" t="n">
        <v>1</v>
      </c>
      <c r="I69" s="67"/>
      <c r="J69" s="67"/>
      <c r="K69" s="68" t="n">
        <f aca="false">L69+M69</f>
        <v>0</v>
      </c>
      <c r="L69" s="68"/>
      <c r="M69" s="68"/>
      <c r="N69" s="67"/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42"/>
      <c r="G70" s="43" t="s">
        <v>26</v>
      </c>
      <c r="H70" s="42" t="n">
        <v>2</v>
      </c>
      <c r="I70" s="64"/>
      <c r="J70" s="64"/>
      <c r="K70" s="65" t="n">
        <f aca="false">L70+M70</f>
        <v>0</v>
      </c>
      <c r="L70" s="65"/>
      <c r="M70" s="65"/>
      <c r="N70" s="64"/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77</v>
      </c>
      <c r="C71" s="19" t="s">
        <v>38</v>
      </c>
      <c r="D71" s="19" t="s">
        <v>78</v>
      </c>
      <c r="E71" s="19" t="s">
        <v>25</v>
      </c>
      <c r="F71" s="22"/>
      <c r="G71" s="21" t="s">
        <v>22</v>
      </c>
      <c r="H71" s="22"/>
      <c r="I71" s="67"/>
      <c r="J71" s="67"/>
      <c r="K71" s="68" t="n">
        <f aca="false">L71+M71</f>
        <v>0</v>
      </c>
      <c r="L71" s="68"/>
      <c r="M71" s="68"/>
      <c r="N71" s="67" t="n">
        <v>1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80"/>
      <c r="G72" s="81" t="s">
        <v>26</v>
      </c>
      <c r="H72" s="80" t="n">
        <v>1</v>
      </c>
      <c r="I72" s="82"/>
      <c r="J72" s="82"/>
      <c r="K72" s="83" t="n">
        <f aca="false">L72+M72</f>
        <v>0</v>
      </c>
      <c r="L72" s="83"/>
      <c r="M72" s="83"/>
      <c r="N72" s="82" t="n">
        <v>3</v>
      </c>
      <c r="O72" s="83" t="n">
        <f aca="false">P72+Q72</f>
        <v>0</v>
      </c>
      <c r="P72" s="83"/>
      <c r="Q72" s="84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false" outlineLevel="0" collapsed="false">
      <c r="A73" s="17"/>
      <c r="B73" s="18"/>
      <c r="C73" s="18"/>
      <c r="D73" s="18"/>
      <c r="E73" s="18"/>
      <c r="F73" s="85"/>
      <c r="G73" s="86" t="s">
        <v>23</v>
      </c>
      <c r="H73" s="85" t="n">
        <v>1</v>
      </c>
      <c r="I73" s="58"/>
      <c r="J73" s="58"/>
      <c r="K73" s="59" t="n">
        <f aca="false">L73+M73</f>
        <v>0</v>
      </c>
      <c r="L73" s="59"/>
      <c r="M73" s="59"/>
      <c r="N73" s="58" t="n">
        <v>2</v>
      </c>
      <c r="O73" s="59" t="n">
        <f aca="false">P73+Q73</f>
        <v>0</v>
      </c>
      <c r="P73" s="59"/>
      <c r="Q73" s="60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true" outlineLevel="0" collapsed="false">
      <c r="A74" s="33"/>
      <c r="B74" s="34" t="s">
        <v>79</v>
      </c>
      <c r="C74" s="35" t="s">
        <v>20</v>
      </c>
      <c r="D74" s="35"/>
      <c r="E74" s="35" t="s">
        <v>52</v>
      </c>
      <c r="F74" s="38"/>
      <c r="G74" s="21" t="s">
        <v>22</v>
      </c>
      <c r="H74" s="38" t="n">
        <v>1</v>
      </c>
      <c r="I74" s="61" t="n">
        <v>1</v>
      </c>
      <c r="J74" s="61" t="n">
        <v>1</v>
      </c>
      <c r="K74" s="62" t="n">
        <f aca="false">L74+M74</f>
        <v>0</v>
      </c>
      <c r="L74" s="62"/>
      <c r="M74" s="62"/>
      <c r="N74" s="61" t="n">
        <v>1</v>
      </c>
      <c r="O74" s="62" t="n">
        <f aca="false">P74+Q74</f>
        <v>0</v>
      </c>
      <c r="P74" s="62"/>
      <c r="Q74" s="63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.75" hidden="false" customHeight="true" outlineLevel="0" collapsed="false">
      <c r="A75" s="33"/>
      <c r="B75" s="34"/>
      <c r="C75" s="34"/>
      <c r="D75" s="34"/>
      <c r="E75" s="34"/>
      <c r="F75" s="42"/>
      <c r="G75" s="43" t="s">
        <v>26</v>
      </c>
      <c r="H75" s="42"/>
      <c r="I75" s="64"/>
      <c r="J75" s="64"/>
      <c r="K75" s="65" t="n">
        <f aca="false">L75+M75</f>
        <v>0</v>
      </c>
      <c r="L75" s="65"/>
      <c r="M75" s="65"/>
      <c r="N75" s="64"/>
      <c r="O75" s="65" t="n">
        <f aca="false">P75+Q75</f>
        <v>0</v>
      </c>
      <c r="P75" s="65"/>
      <c r="Q75" s="6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" hidden="false" customHeight="true" outlineLevel="0" collapsed="false">
      <c r="A76" s="72"/>
      <c r="B76" s="73" t="s">
        <v>80</v>
      </c>
      <c r="C76" s="74" t="s">
        <v>20</v>
      </c>
      <c r="D76" s="74"/>
      <c r="E76" s="74" t="s">
        <v>81</v>
      </c>
      <c r="F76" s="20"/>
      <c r="G76" s="21" t="s">
        <v>22</v>
      </c>
      <c r="H76" s="22" t="n">
        <v>2</v>
      </c>
      <c r="I76" s="67"/>
      <c r="J76" s="67"/>
      <c r="K76" s="68" t="n">
        <f aca="false">L76+M76</f>
        <v>0</v>
      </c>
      <c r="L76" s="68"/>
      <c r="M76" s="68"/>
      <c r="N76" s="67"/>
      <c r="O76" s="68" t="n">
        <f aca="false">P76+Q76</f>
        <v>0</v>
      </c>
      <c r="P76" s="68"/>
      <c r="Q76" s="69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72"/>
      <c r="B77" s="73"/>
      <c r="C77" s="73"/>
      <c r="D77" s="73"/>
      <c r="E77" s="73"/>
      <c r="F77" s="42"/>
      <c r="G77" s="43" t="s">
        <v>26</v>
      </c>
      <c r="H77" s="42"/>
      <c r="I77" s="64"/>
      <c r="J77" s="64"/>
      <c r="K77" s="65" t="n">
        <f aca="false">L77+M77</f>
        <v>0</v>
      </c>
      <c r="L77" s="65"/>
      <c r="M77" s="65"/>
      <c r="N77" s="64"/>
      <c r="O77" s="65" t="n">
        <f aca="false">P77+Q77</f>
        <v>0</v>
      </c>
      <c r="P77" s="65"/>
      <c r="Q77" s="6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" hidden="false" customHeight="true" outlineLevel="0" collapsed="false">
      <c r="A78" s="17"/>
      <c r="B78" s="18" t="s">
        <v>82</v>
      </c>
      <c r="C78" s="19" t="s">
        <v>20</v>
      </c>
      <c r="D78" s="19"/>
      <c r="E78" s="19" t="s">
        <v>25</v>
      </c>
      <c r="F78" s="22"/>
      <c r="G78" s="21" t="s">
        <v>22</v>
      </c>
      <c r="H78" s="22" t="n">
        <v>2</v>
      </c>
      <c r="I78" s="67"/>
      <c r="J78" s="67"/>
      <c r="K78" s="68" t="n">
        <f aca="false">L78+M78</f>
        <v>0</v>
      </c>
      <c r="L78" s="68"/>
      <c r="M78" s="68"/>
      <c r="N78" s="67"/>
      <c r="O78" s="68" t="n">
        <f aca="false">P78+Q78</f>
        <v>0</v>
      </c>
      <c r="P78" s="68"/>
      <c r="Q78" s="69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.75" hidden="false" customHeight="true" outlineLevel="0" collapsed="false">
      <c r="A79" s="17"/>
      <c r="B79" s="18"/>
      <c r="C79" s="18"/>
      <c r="D79" s="18"/>
      <c r="E79" s="18"/>
      <c r="F79" s="26"/>
      <c r="G79" s="27" t="s">
        <v>26</v>
      </c>
      <c r="H79" s="26"/>
      <c r="I79" s="58"/>
      <c r="J79" s="58"/>
      <c r="K79" s="59" t="n">
        <f aca="false">L79+M79</f>
        <v>0</v>
      </c>
      <c r="L79" s="59"/>
      <c r="M79" s="59"/>
      <c r="N79" s="58"/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17"/>
      <c r="B80" s="18" t="s">
        <v>83</v>
      </c>
      <c r="C80" s="19" t="s">
        <v>20</v>
      </c>
      <c r="D80" s="19"/>
      <c r="E80" s="19" t="s">
        <v>25</v>
      </c>
      <c r="F80" s="20"/>
      <c r="G80" s="21" t="s">
        <v>22</v>
      </c>
      <c r="H80" s="22" t="n">
        <v>1</v>
      </c>
      <c r="I80" s="67"/>
      <c r="J80" s="67"/>
      <c r="K80" s="68" t="n">
        <f aca="false">L80+M80</f>
        <v>0</v>
      </c>
      <c r="L80" s="68"/>
      <c r="M80" s="68"/>
      <c r="N80" s="67"/>
      <c r="O80" s="68" t="n">
        <f aca="false">P80+Q80</f>
        <v>0</v>
      </c>
      <c r="P80" s="68"/>
      <c r="Q80" s="69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17"/>
      <c r="B81" s="18"/>
      <c r="C81" s="18"/>
      <c r="D81" s="18"/>
      <c r="E81" s="18"/>
      <c r="F81" s="26"/>
      <c r="G81" s="27" t="s">
        <v>26</v>
      </c>
      <c r="H81" s="26"/>
      <c r="I81" s="58"/>
      <c r="J81" s="58"/>
      <c r="K81" s="59" t="n">
        <f aca="false">L81+M81</f>
        <v>0</v>
      </c>
      <c r="L81" s="59"/>
      <c r="M81" s="59"/>
      <c r="N81" s="58"/>
      <c r="O81" s="59" t="n">
        <f aca="false">P81+Q81</f>
        <v>0</v>
      </c>
      <c r="P81" s="59"/>
      <c r="Q81" s="60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33"/>
      <c r="B82" s="34" t="s">
        <v>84</v>
      </c>
      <c r="C82" s="35" t="s">
        <v>20</v>
      </c>
      <c r="D82" s="35"/>
      <c r="E82" s="35" t="s">
        <v>52</v>
      </c>
      <c r="F82" s="36"/>
      <c r="G82" s="21" t="s">
        <v>22</v>
      </c>
      <c r="H82" s="38" t="n">
        <v>3</v>
      </c>
      <c r="I82" s="61"/>
      <c r="J82" s="61"/>
      <c r="K82" s="62" t="n">
        <f aca="false">L82+M82</f>
        <v>0</v>
      </c>
      <c r="L82" s="62"/>
      <c r="M82" s="62"/>
      <c r="N82" s="61"/>
      <c r="O82" s="62" t="n">
        <f aca="false">P82+Q82</f>
        <v>0</v>
      </c>
      <c r="P82" s="62"/>
      <c r="Q82" s="63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/>
      <c r="C83" s="34"/>
      <c r="D83" s="34"/>
      <c r="E83" s="34"/>
      <c r="F83" s="71"/>
      <c r="G83" s="43" t="s">
        <v>26</v>
      </c>
      <c r="H83" s="42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85</v>
      </c>
      <c r="C84" s="19" t="s">
        <v>20</v>
      </c>
      <c r="D84" s="19"/>
      <c r="E84" s="19" t="s">
        <v>25</v>
      </c>
      <c r="F84" s="87"/>
      <c r="G84" s="21" t="s">
        <v>22</v>
      </c>
      <c r="H84" s="21"/>
      <c r="I84" s="67"/>
      <c r="J84" s="67"/>
      <c r="K84" s="68" t="n">
        <f aca="false">L84+M84</f>
        <v>0</v>
      </c>
      <c r="L84" s="68"/>
      <c r="M84" s="68"/>
      <c r="N84" s="67"/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88"/>
      <c r="G85" s="27" t="s">
        <v>26</v>
      </c>
      <c r="H85" s="27"/>
      <c r="I85" s="58"/>
      <c r="J85" s="58"/>
      <c r="K85" s="59" t="n">
        <f aca="false">L85+M85</f>
        <v>0</v>
      </c>
      <c r="L85" s="59"/>
      <c r="M85" s="59"/>
      <c r="N85" s="58"/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17"/>
      <c r="B86" s="73" t="s">
        <v>86</v>
      </c>
      <c r="C86" s="74" t="s">
        <v>33</v>
      </c>
      <c r="D86" s="74" t="s">
        <v>87</v>
      </c>
      <c r="E86" s="74" t="s">
        <v>88</v>
      </c>
      <c r="F86" s="20"/>
      <c r="G86" s="21" t="s">
        <v>22</v>
      </c>
      <c r="H86" s="21" t="n">
        <v>9</v>
      </c>
      <c r="I86" s="67" t="n">
        <v>2</v>
      </c>
      <c r="J86" s="67" t="n">
        <v>2</v>
      </c>
      <c r="K86" s="68" t="n">
        <f aca="false">L86+M86</f>
        <v>0</v>
      </c>
      <c r="L86" s="68"/>
      <c r="M86" s="68"/>
      <c r="N86" s="67" t="n">
        <v>1</v>
      </c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73"/>
      <c r="C87" s="73"/>
      <c r="D87" s="73"/>
      <c r="E87" s="73"/>
      <c r="F87" s="42"/>
      <c r="G87" s="43" t="s">
        <v>23</v>
      </c>
      <c r="H87" s="42" t="n">
        <v>3</v>
      </c>
      <c r="I87" s="64" t="n">
        <v>1</v>
      </c>
      <c r="J87" s="64" t="n">
        <v>1</v>
      </c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89</v>
      </c>
      <c r="C88" s="19" t="s">
        <v>20</v>
      </c>
      <c r="D88" s="19" t="s">
        <v>90</v>
      </c>
      <c r="E88" s="19" t="s">
        <v>42</v>
      </c>
      <c r="F88" s="20"/>
      <c r="G88" s="21" t="s">
        <v>22</v>
      </c>
      <c r="H88" s="22" t="n">
        <v>7</v>
      </c>
      <c r="I88" s="67"/>
      <c r="J88" s="67"/>
      <c r="K88" s="68" t="n">
        <f aca="false">L88+M88</f>
        <v>0</v>
      </c>
      <c r="L88" s="68"/>
      <c r="M88" s="68"/>
      <c r="N88" s="67"/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/>
      <c r="G89" s="27" t="s">
        <v>23</v>
      </c>
      <c r="H89" s="26"/>
      <c r="I89" s="58"/>
      <c r="J89" s="58"/>
      <c r="K89" s="59" t="n">
        <f aca="false">L89+M89</f>
        <v>0</v>
      </c>
      <c r="L89" s="59"/>
      <c r="M89" s="59"/>
      <c r="N89" s="58"/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.75" hidden="false" customHeight="true" outlineLevel="0" collapsed="false">
      <c r="A90" s="33"/>
      <c r="B90" s="34" t="s">
        <v>91</v>
      </c>
      <c r="C90" s="35" t="s">
        <v>33</v>
      </c>
      <c r="D90" s="35" t="s">
        <v>92</v>
      </c>
      <c r="E90" s="35" t="s">
        <v>25</v>
      </c>
      <c r="F90" s="36"/>
      <c r="G90" s="21" t="s">
        <v>22</v>
      </c>
      <c r="H90" s="38" t="n">
        <v>2</v>
      </c>
      <c r="I90" s="61"/>
      <c r="J90" s="61"/>
      <c r="K90" s="62" t="n">
        <f aca="false">L90+M90</f>
        <v>0</v>
      </c>
      <c r="L90" s="62"/>
      <c r="M90" s="62"/>
      <c r="N90" s="61"/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89"/>
      <c r="G91" s="90" t="s">
        <v>23</v>
      </c>
      <c r="H91" s="89"/>
      <c r="I91" s="91"/>
      <c r="J91" s="91"/>
      <c r="K91" s="92" t="n">
        <f aca="false">L91+M91</f>
        <v>0</v>
      </c>
      <c r="L91" s="92"/>
      <c r="M91" s="92"/>
      <c r="N91" s="91"/>
      <c r="O91" s="92" t="n">
        <f aca="false">P91+Q91</f>
        <v>0</v>
      </c>
      <c r="P91" s="92"/>
      <c r="Q91" s="93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/>
      <c r="G92" s="43" t="s">
        <v>26</v>
      </c>
      <c r="H92" s="42" t="n">
        <v>2</v>
      </c>
      <c r="I92" s="64"/>
      <c r="J92" s="64"/>
      <c r="K92" s="65" t="n">
        <f aca="false">L92+M92</f>
        <v>0</v>
      </c>
      <c r="L92" s="65"/>
      <c r="M92" s="65"/>
      <c r="N92" s="64"/>
      <c r="O92" s="65" t="n">
        <f aca="false">P92+Q92</f>
        <v>0</v>
      </c>
      <c r="P92" s="65"/>
      <c r="Q92" s="6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18" t="s">
        <v>93</v>
      </c>
      <c r="C93" s="19" t="s">
        <v>20</v>
      </c>
      <c r="D93" s="49"/>
      <c r="E93" s="19" t="s">
        <v>50</v>
      </c>
      <c r="F93" s="87"/>
      <c r="G93" s="21" t="s">
        <v>22</v>
      </c>
      <c r="H93" s="22"/>
      <c r="I93" s="67"/>
      <c r="J93" s="67"/>
      <c r="K93" s="68" t="n">
        <f aca="false">L93+M93</f>
        <v>0</v>
      </c>
      <c r="L93" s="68"/>
      <c r="M93" s="68"/>
      <c r="N93" s="67"/>
      <c r="O93" s="68" t="n">
        <f aca="false">P93+Q93</f>
        <v>0</v>
      </c>
      <c r="P93" s="68"/>
      <c r="Q93" s="69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8"/>
      <c r="G94" s="27" t="s">
        <v>26</v>
      </c>
      <c r="H94" s="26" t="n">
        <v>2</v>
      </c>
      <c r="I94" s="58"/>
      <c r="J94" s="58"/>
      <c r="K94" s="59" t="n">
        <f aca="false">L94+M94</f>
        <v>0</v>
      </c>
      <c r="L94" s="59"/>
      <c r="M94" s="59"/>
      <c r="N94" s="58"/>
      <c r="O94" s="59" t="n">
        <f aca="false">P94+Q94</f>
        <v>0</v>
      </c>
      <c r="P94" s="59"/>
      <c r="Q94" s="60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" hidden="false" customHeight="true" outlineLevel="0" collapsed="false">
      <c r="A95" s="54"/>
      <c r="B95" s="55" t="s">
        <v>94</v>
      </c>
      <c r="C95" s="56" t="s">
        <v>20</v>
      </c>
      <c r="D95" s="56"/>
      <c r="E95" s="56" t="s">
        <v>52</v>
      </c>
      <c r="F95" s="36"/>
      <c r="G95" s="37" t="s">
        <v>22</v>
      </c>
      <c r="H95" s="38" t="n">
        <v>3</v>
      </c>
      <c r="I95" s="61" t="n">
        <v>2</v>
      </c>
      <c r="J95" s="61" t="n">
        <v>2</v>
      </c>
      <c r="K95" s="62" t="n">
        <f aca="false">L95+M95</f>
        <v>0</v>
      </c>
      <c r="L95" s="62"/>
      <c r="M95" s="62"/>
      <c r="N95" s="61" t="n">
        <v>2</v>
      </c>
      <c r="O95" s="62" t="n">
        <f aca="false">P95+Q95</f>
        <v>0</v>
      </c>
      <c r="P95" s="62"/>
      <c r="Q95" s="63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42"/>
      <c r="G96" s="43" t="s">
        <v>26</v>
      </c>
      <c r="H96" s="26" t="n">
        <v>2</v>
      </c>
      <c r="I96" s="58"/>
      <c r="J96" s="58"/>
      <c r="K96" s="59" t="n">
        <f aca="false">L96+M96</f>
        <v>0</v>
      </c>
      <c r="L96" s="59"/>
      <c r="M96" s="59"/>
      <c r="N96" s="58"/>
      <c r="O96" s="59" t="n">
        <f aca="false">P96+Q96</f>
        <v>0</v>
      </c>
      <c r="P96" s="59"/>
      <c r="Q96" s="60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 t="s">
        <v>95</v>
      </c>
      <c r="C97" s="35" t="s">
        <v>33</v>
      </c>
      <c r="D97" s="35" t="s">
        <v>96</v>
      </c>
      <c r="E97" s="35" t="s">
        <v>88</v>
      </c>
      <c r="F97" s="22"/>
      <c r="G97" s="21" t="s">
        <v>22</v>
      </c>
      <c r="H97" s="38" t="n">
        <v>5</v>
      </c>
      <c r="I97" s="61"/>
      <c r="J97" s="38"/>
      <c r="K97" s="62" t="n">
        <f aca="false">L97+M97</f>
        <v>0</v>
      </c>
      <c r="L97" s="62"/>
      <c r="M97" s="62"/>
      <c r="N97" s="61"/>
      <c r="O97" s="62" t="n">
        <f aca="false">P97+Q97</f>
        <v>0</v>
      </c>
      <c r="P97" s="62"/>
      <c r="Q97" s="6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23</v>
      </c>
      <c r="H98" s="42" t="n">
        <v>4</v>
      </c>
      <c r="I98" s="64"/>
      <c r="J98" s="64"/>
      <c r="K98" s="65" t="n">
        <f aca="false">L98+M98</f>
        <v>0</v>
      </c>
      <c r="L98" s="65"/>
      <c r="M98" s="65"/>
      <c r="N98" s="64"/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72"/>
      <c r="B99" s="73" t="s">
        <v>97</v>
      </c>
      <c r="C99" s="74" t="s">
        <v>20</v>
      </c>
      <c r="D99" s="74"/>
      <c r="E99" s="74" t="s">
        <v>98</v>
      </c>
      <c r="F99" s="20"/>
      <c r="G99" s="21" t="s">
        <v>22</v>
      </c>
      <c r="H99" s="22" t="n">
        <v>2</v>
      </c>
      <c r="I99" s="67"/>
      <c r="J99" s="67"/>
      <c r="K99" s="68" t="n">
        <f aca="false">L99+M99</f>
        <v>0</v>
      </c>
      <c r="L99" s="68"/>
      <c r="M99" s="68"/>
      <c r="N99" s="67" t="n">
        <v>1</v>
      </c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/>
      <c r="G100" s="43" t="s">
        <v>23</v>
      </c>
      <c r="H100" s="42" t="n">
        <v>2</v>
      </c>
      <c r="I100" s="64" t="n">
        <v>3</v>
      </c>
      <c r="J100" s="64" t="n">
        <v>3</v>
      </c>
      <c r="K100" s="65" t="n">
        <f aca="false">L100+M100</f>
        <v>0</v>
      </c>
      <c r="L100" s="65"/>
      <c r="M100" s="65"/>
      <c r="N100" s="64" t="n">
        <v>2</v>
      </c>
      <c r="O100" s="65" t="n">
        <f aca="false">P100+Q100</f>
        <v>0</v>
      </c>
      <c r="P100" s="65"/>
      <c r="Q100" s="6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 t="s">
        <v>99</v>
      </c>
      <c r="C101" s="19" t="s">
        <v>33</v>
      </c>
      <c r="D101" s="19" t="s">
        <v>100</v>
      </c>
      <c r="E101" s="19" t="s">
        <v>101</v>
      </c>
      <c r="F101" s="20"/>
      <c r="G101" s="21" t="s">
        <v>22</v>
      </c>
      <c r="H101" s="22" t="n">
        <v>2</v>
      </c>
      <c r="I101" s="67" t="n">
        <v>1</v>
      </c>
      <c r="J101" s="67" t="n">
        <v>1</v>
      </c>
      <c r="K101" s="68" t="n">
        <f aca="false">L101+M101</f>
        <v>0</v>
      </c>
      <c r="L101" s="68"/>
      <c r="M101" s="68"/>
      <c r="N101" s="67" t="n">
        <v>6</v>
      </c>
      <c r="O101" s="68" t="n">
        <f aca="false">P101+Q101</f>
        <v>0</v>
      </c>
      <c r="P101" s="68"/>
      <c r="Q101" s="69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/>
      <c r="G102" s="81" t="s">
        <v>26</v>
      </c>
      <c r="H102" s="81" t="n">
        <v>1</v>
      </c>
      <c r="I102" s="82"/>
      <c r="J102" s="82"/>
      <c r="K102" s="83" t="n">
        <f aca="false">L102+M102</f>
        <v>0</v>
      </c>
      <c r="L102" s="83"/>
      <c r="M102" s="83"/>
      <c r="N102" s="82" t="n">
        <v>1</v>
      </c>
      <c r="O102" s="83" t="n">
        <f aca="false">P102+Q102</f>
        <v>0</v>
      </c>
      <c r="P102" s="83"/>
      <c r="Q102" s="84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/>
      <c r="G103" s="27" t="s">
        <v>23</v>
      </c>
      <c r="H103" s="27"/>
      <c r="I103" s="58"/>
      <c r="J103" s="58"/>
      <c r="K103" s="59" t="n">
        <f aca="false">L103+M103</f>
        <v>0</v>
      </c>
      <c r="L103" s="59"/>
      <c r="M103" s="59"/>
      <c r="N103" s="58"/>
      <c r="O103" s="59" t="n">
        <f aca="false">P103+Q103</f>
        <v>0</v>
      </c>
      <c r="P103" s="59"/>
      <c r="Q103" s="60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 t="s">
        <v>102</v>
      </c>
      <c r="C104" s="35" t="s">
        <v>20</v>
      </c>
      <c r="D104" s="35"/>
      <c r="E104" s="35" t="s">
        <v>25</v>
      </c>
      <c r="F104" s="36"/>
      <c r="G104" s="21" t="s">
        <v>22</v>
      </c>
      <c r="H104" s="37" t="n">
        <v>1</v>
      </c>
      <c r="I104" s="61"/>
      <c r="J104" s="61"/>
      <c r="K104" s="62" t="n">
        <f aca="false">L104+M104</f>
        <v>0</v>
      </c>
      <c r="L104" s="62"/>
      <c r="M104" s="62"/>
      <c r="N104" s="61"/>
      <c r="O104" s="62" t="n">
        <f aca="false">P104+Q104</f>
        <v>0</v>
      </c>
      <c r="P104" s="62"/>
      <c r="Q104" s="63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43" t="s">
        <v>26</v>
      </c>
      <c r="H105" s="43" t="n">
        <v>2</v>
      </c>
      <c r="I105" s="64"/>
      <c r="J105" s="64"/>
      <c r="K105" s="65" t="n">
        <f aca="false">L105+M105</f>
        <v>0</v>
      </c>
      <c r="L105" s="65"/>
      <c r="M105" s="65"/>
      <c r="N105" s="64"/>
      <c r="O105" s="65" t="n">
        <f aca="false">P105+Q105</f>
        <v>0</v>
      </c>
      <c r="P105" s="65"/>
      <c r="Q105" s="6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" hidden="false" customHeight="true" outlineLevel="0" collapsed="false">
      <c r="A106" s="17"/>
      <c r="B106" s="18" t="s">
        <v>103</v>
      </c>
      <c r="C106" s="19" t="s">
        <v>20</v>
      </c>
      <c r="D106" s="19"/>
      <c r="E106" s="19" t="s">
        <v>52</v>
      </c>
      <c r="F106" s="20"/>
      <c r="G106" s="21" t="s">
        <v>22</v>
      </c>
      <c r="H106" s="22"/>
      <c r="I106" s="67"/>
      <c r="J106" s="67"/>
      <c r="K106" s="68" t="n">
        <f aca="false">L106+M106</f>
        <v>0</v>
      </c>
      <c r="L106" s="68"/>
      <c r="M106" s="68"/>
      <c r="N106" s="67"/>
      <c r="O106" s="68" t="n">
        <f aca="false">P106+Q106</f>
        <v>0</v>
      </c>
      <c r="P106" s="68"/>
      <c r="Q106" s="69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26"/>
      <c r="G107" s="27" t="s">
        <v>26</v>
      </c>
      <c r="H107" s="26" t="n">
        <v>3</v>
      </c>
      <c r="I107" s="58"/>
      <c r="J107" s="58"/>
      <c r="K107" s="59" t="n">
        <f aca="false">L107+M107</f>
        <v>0</v>
      </c>
      <c r="L107" s="59"/>
      <c r="M107" s="59"/>
      <c r="N107" s="58" t="n">
        <v>1</v>
      </c>
      <c r="O107" s="59" t="n">
        <f aca="false">P107+Q107</f>
        <v>0</v>
      </c>
      <c r="P107" s="59"/>
      <c r="Q107" s="60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" hidden="false" customHeight="true" outlineLevel="0" collapsed="false">
      <c r="A108" s="54"/>
      <c r="B108" s="55" t="s">
        <v>104</v>
      </c>
      <c r="C108" s="56" t="s">
        <v>20</v>
      </c>
      <c r="D108" s="56"/>
      <c r="E108" s="56" t="s">
        <v>25</v>
      </c>
      <c r="F108" s="22"/>
      <c r="G108" s="21" t="s">
        <v>22</v>
      </c>
      <c r="H108" s="38"/>
      <c r="I108" s="61"/>
      <c r="J108" s="61"/>
      <c r="K108" s="62" t="n">
        <f aca="false">L108+M108</f>
        <v>0</v>
      </c>
      <c r="L108" s="62"/>
      <c r="M108" s="62"/>
      <c r="N108" s="61"/>
      <c r="O108" s="62" t="n">
        <f aca="false">P108+Q108</f>
        <v>0</v>
      </c>
      <c r="P108" s="62"/>
      <c r="Q108" s="6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57"/>
      <c r="G109" s="27" t="s">
        <v>26</v>
      </c>
      <c r="H109" s="26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33"/>
      <c r="B110" s="34" t="s">
        <v>105</v>
      </c>
      <c r="C110" s="35" t="s">
        <v>33</v>
      </c>
      <c r="D110" s="35" t="s">
        <v>106</v>
      </c>
      <c r="E110" s="35" t="s">
        <v>107</v>
      </c>
      <c r="F110" s="36"/>
      <c r="G110" s="21" t="s">
        <v>22</v>
      </c>
      <c r="H110" s="38"/>
      <c r="I110" s="61"/>
      <c r="J110" s="61"/>
      <c r="K110" s="62" t="n">
        <f aca="false">L110+M110</f>
        <v>0</v>
      </c>
      <c r="L110" s="62"/>
      <c r="M110" s="62"/>
      <c r="N110" s="61" t="n">
        <v>3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42"/>
      <c r="G111" s="43" t="s">
        <v>26</v>
      </c>
      <c r="H111" s="42"/>
      <c r="I111" s="64"/>
      <c r="J111" s="64"/>
      <c r="K111" s="65" t="n">
        <f aca="false">L111+M111</f>
        <v>0</v>
      </c>
      <c r="L111" s="65"/>
      <c r="M111" s="65"/>
      <c r="N111" s="64" t="n">
        <v>4</v>
      </c>
      <c r="O111" s="65" t="n">
        <f aca="false">P111+Q111</f>
        <v>0</v>
      </c>
      <c r="P111" s="65"/>
      <c r="Q111" s="6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72"/>
      <c r="B112" s="73" t="s">
        <v>108</v>
      </c>
      <c r="C112" s="74" t="s">
        <v>33</v>
      </c>
      <c r="D112" s="74" t="s">
        <v>109</v>
      </c>
      <c r="E112" s="74" t="s">
        <v>25</v>
      </c>
      <c r="F112" s="20"/>
      <c r="G112" s="21" t="s">
        <v>22</v>
      </c>
      <c r="H112" s="22" t="n">
        <v>2</v>
      </c>
      <c r="I112" s="67" t="n">
        <v>2</v>
      </c>
      <c r="J112" s="67" t="n">
        <v>2</v>
      </c>
      <c r="K112" s="68" t="n">
        <f aca="false">L112+M112</f>
        <v>0</v>
      </c>
      <c r="L112" s="68"/>
      <c r="M112" s="68"/>
      <c r="N112" s="67" t="n">
        <v>7</v>
      </c>
      <c r="O112" s="68" t="n">
        <f aca="false">P112+Q112</f>
        <v>0</v>
      </c>
      <c r="P112" s="68"/>
      <c r="Q112" s="69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72"/>
      <c r="B113" s="73"/>
      <c r="C113" s="73"/>
      <c r="D113" s="73"/>
      <c r="E113" s="73"/>
      <c r="F113" s="42"/>
      <c r="G113" s="43" t="s">
        <v>26</v>
      </c>
      <c r="H113" s="42" t="n">
        <v>1</v>
      </c>
      <c r="I113" s="64"/>
      <c r="J113" s="64"/>
      <c r="K113" s="65" t="n">
        <f aca="false">L113+M113</f>
        <v>0</v>
      </c>
      <c r="L113" s="65"/>
      <c r="M113" s="65"/>
      <c r="N113" s="64" t="n">
        <v>2</v>
      </c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110</v>
      </c>
      <c r="C114" s="19" t="s">
        <v>33</v>
      </c>
      <c r="D114" s="19" t="s">
        <v>111</v>
      </c>
      <c r="E114" s="19" t="s">
        <v>25</v>
      </c>
      <c r="F114" s="20"/>
      <c r="G114" s="21" t="s">
        <v>22</v>
      </c>
      <c r="H114" s="22" t="n">
        <v>3</v>
      </c>
      <c r="I114" s="67" t="n">
        <v>1</v>
      </c>
      <c r="J114" s="22" t="n">
        <v>1</v>
      </c>
      <c r="K114" s="68" t="n">
        <f aca="false">L114+M114</f>
        <v>0</v>
      </c>
      <c r="L114" s="68"/>
      <c r="M114" s="68"/>
      <c r="N114" s="67" t="n">
        <v>5</v>
      </c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26</v>
      </c>
      <c r="H115" s="26"/>
      <c r="I115" s="58"/>
      <c r="J115" s="58"/>
      <c r="K115" s="59" t="n">
        <f aca="false">L115+M115</f>
        <v>0</v>
      </c>
      <c r="L115" s="59"/>
      <c r="M115" s="59"/>
      <c r="N115" s="58" t="n">
        <v>2</v>
      </c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33"/>
      <c r="B116" s="34" t="s">
        <v>112</v>
      </c>
      <c r="C116" s="35" t="s">
        <v>20</v>
      </c>
      <c r="D116" s="35"/>
      <c r="E116" s="35" t="s">
        <v>25</v>
      </c>
      <c r="F116" s="36"/>
      <c r="G116" s="21" t="s">
        <v>22</v>
      </c>
      <c r="H116" s="38" t="n">
        <v>1</v>
      </c>
      <c r="I116" s="61" t="n">
        <v>1</v>
      </c>
      <c r="J116" s="61" t="n">
        <v>1</v>
      </c>
      <c r="K116" s="94" t="n">
        <f aca="false">L116+M116</f>
        <v>0</v>
      </c>
      <c r="L116" s="94"/>
      <c r="M116" s="62"/>
      <c r="N116" s="61"/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26"/>
      <c r="G117" s="27" t="s">
        <v>26</v>
      </c>
      <c r="H117" s="42" t="n">
        <v>1</v>
      </c>
      <c r="I117" s="64"/>
      <c r="J117" s="64"/>
      <c r="K117" s="65" t="n">
        <f aca="false">L117+M117</f>
        <v>0</v>
      </c>
      <c r="L117" s="65"/>
      <c r="M117" s="65"/>
      <c r="N117" s="64"/>
      <c r="O117" s="65" t="n">
        <f aca="false">P117+Q117</f>
        <v>0</v>
      </c>
      <c r="P117" s="65"/>
      <c r="Q117" s="6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" hidden="false" customHeight="true" outlineLevel="0" collapsed="false">
      <c r="A118" s="17"/>
      <c r="B118" s="18" t="s">
        <v>113</v>
      </c>
      <c r="C118" s="19" t="s">
        <v>20</v>
      </c>
      <c r="D118" s="19"/>
      <c r="E118" s="19" t="s">
        <v>31</v>
      </c>
      <c r="F118" s="36"/>
      <c r="G118" s="21" t="s">
        <v>22</v>
      </c>
      <c r="H118" s="22" t="n">
        <v>3</v>
      </c>
      <c r="I118" s="67" t="n">
        <v>3</v>
      </c>
      <c r="J118" s="67" t="n">
        <v>3</v>
      </c>
      <c r="K118" s="68" t="n">
        <f aca="false">L118+M118</f>
        <v>0</v>
      </c>
      <c r="L118" s="68"/>
      <c r="M118" s="68"/>
      <c r="N118" s="67" t="n">
        <v>1</v>
      </c>
      <c r="O118" s="68" t="n">
        <f aca="false">P118+Q118</f>
        <v>0</v>
      </c>
      <c r="P118" s="68"/>
      <c r="Q118" s="69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57"/>
      <c r="G119" s="27" t="s">
        <v>26</v>
      </c>
      <c r="H119" s="26"/>
      <c r="I119" s="58"/>
      <c r="J119" s="58"/>
      <c r="K119" s="59" t="n">
        <f aca="false">L119+M119</f>
        <v>0</v>
      </c>
      <c r="L119" s="59"/>
      <c r="M119" s="59"/>
      <c r="N119" s="58"/>
      <c r="O119" s="59" t="n">
        <f aca="false">P119+Q119</f>
        <v>0</v>
      </c>
      <c r="P119" s="59"/>
      <c r="Q119" s="60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" hidden="false" customHeight="true" outlineLevel="0" collapsed="false">
      <c r="A120" s="33"/>
      <c r="B120" s="34" t="s">
        <v>114</v>
      </c>
      <c r="C120" s="35" t="s">
        <v>20</v>
      </c>
      <c r="D120" s="95"/>
      <c r="E120" s="35" t="s">
        <v>25</v>
      </c>
      <c r="F120" s="71"/>
      <c r="G120" s="21" t="s">
        <v>22</v>
      </c>
      <c r="H120" s="38"/>
      <c r="I120" s="61"/>
      <c r="J120" s="61"/>
      <c r="K120" s="62" t="n">
        <f aca="false">L120+M120</f>
        <v>0</v>
      </c>
      <c r="L120" s="62"/>
      <c r="M120" s="62"/>
      <c r="N120" s="61"/>
      <c r="O120" s="62" t="n">
        <f aca="false">P120+Q120</f>
        <v>0</v>
      </c>
      <c r="P120" s="62"/>
      <c r="Q120" s="63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42"/>
      <c r="G121" s="43" t="s">
        <v>26</v>
      </c>
      <c r="H121" s="42"/>
      <c r="I121" s="64"/>
      <c r="J121" s="64"/>
      <c r="K121" s="65" t="n">
        <f aca="false">L121+M121</f>
        <v>0</v>
      </c>
      <c r="L121" s="65"/>
      <c r="M121" s="65"/>
      <c r="N121" s="64"/>
      <c r="O121" s="65" t="n">
        <f aca="false">P121+Q121</f>
        <v>0</v>
      </c>
      <c r="P121" s="65"/>
      <c r="Q121" s="6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 t="s">
        <v>115</v>
      </c>
      <c r="C122" s="19" t="s">
        <v>20</v>
      </c>
      <c r="D122" s="19"/>
      <c r="E122" s="19" t="s">
        <v>116</v>
      </c>
      <c r="F122" s="20"/>
      <c r="G122" s="21" t="s">
        <v>22</v>
      </c>
      <c r="H122" s="22" t="n">
        <v>2</v>
      </c>
      <c r="I122" s="67" t="n">
        <v>1</v>
      </c>
      <c r="J122" s="67" t="n">
        <v>1</v>
      </c>
      <c r="K122" s="68" t="n">
        <f aca="false">L122+M122</f>
        <v>0</v>
      </c>
      <c r="L122" s="68"/>
      <c r="M122" s="68"/>
      <c r="N122" s="67" t="n">
        <v>3</v>
      </c>
      <c r="O122" s="68" t="n">
        <f aca="false">P122+Q122</f>
        <v>0</v>
      </c>
      <c r="P122" s="68"/>
      <c r="Q122" s="69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/>
      <c r="G123" s="27" t="s">
        <v>26</v>
      </c>
      <c r="H123" s="26" t="n">
        <v>1</v>
      </c>
      <c r="I123" s="58"/>
      <c r="J123" s="58"/>
      <c r="K123" s="59" t="n">
        <f aca="false">L123+M123</f>
        <v>0</v>
      </c>
      <c r="L123" s="59"/>
      <c r="M123" s="59"/>
      <c r="N123" s="58" t="n">
        <v>2</v>
      </c>
      <c r="O123" s="59" t="n">
        <f aca="false">P123+Q123</f>
        <v>0</v>
      </c>
      <c r="P123" s="59"/>
      <c r="Q123" s="60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" hidden="false" customHeight="true" outlineLevel="0" collapsed="false">
      <c r="A124" s="33"/>
      <c r="B124" s="34" t="s">
        <v>117</v>
      </c>
      <c r="C124" s="35" t="s">
        <v>33</v>
      </c>
      <c r="D124" s="35" t="s">
        <v>118</v>
      </c>
      <c r="E124" s="35" t="s">
        <v>25</v>
      </c>
      <c r="F124" s="89"/>
      <c r="G124" s="21" t="s">
        <v>22</v>
      </c>
      <c r="H124" s="38"/>
      <c r="I124" s="61"/>
      <c r="J124" s="61"/>
      <c r="K124" s="62" t="n">
        <f aca="false">L124+M124</f>
        <v>0</v>
      </c>
      <c r="L124" s="62"/>
      <c r="M124" s="62"/>
      <c r="N124" s="61"/>
      <c r="O124" s="62" t="n">
        <f aca="false">P124+Q124</f>
        <v>0</v>
      </c>
      <c r="P124" s="62"/>
      <c r="Q124" s="63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" hidden="false" customHeight="false" outlineLevel="0" collapsed="false">
      <c r="A125" s="33"/>
      <c r="B125" s="34"/>
      <c r="C125" s="34"/>
      <c r="D125" s="34"/>
      <c r="E125" s="34"/>
      <c r="F125" s="42"/>
      <c r="G125" s="37" t="s">
        <v>23</v>
      </c>
      <c r="H125" s="38"/>
      <c r="I125" s="61"/>
      <c r="J125" s="61"/>
      <c r="K125" s="62" t="n">
        <f aca="false">L125+M125</f>
        <v>0</v>
      </c>
      <c r="L125" s="62"/>
      <c r="M125" s="62"/>
      <c r="N125" s="61"/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" hidden="false" customHeight="false" outlineLevel="0" collapsed="false">
      <c r="A126" s="33"/>
      <c r="B126" s="34"/>
      <c r="C126" s="34"/>
      <c r="D126" s="34"/>
      <c r="E126" s="34"/>
      <c r="F126" s="42"/>
      <c r="G126" s="43" t="s">
        <v>26</v>
      </c>
      <c r="H126" s="42"/>
      <c r="I126" s="64"/>
      <c r="J126" s="64"/>
      <c r="K126" s="65" t="n">
        <f aca="false">L126+M126</f>
        <v>0</v>
      </c>
      <c r="L126" s="65"/>
      <c r="M126" s="65"/>
      <c r="N126" s="64"/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119</v>
      </c>
      <c r="C127" s="19" t="s">
        <v>20</v>
      </c>
      <c r="D127" s="19"/>
      <c r="E127" s="19" t="s">
        <v>25</v>
      </c>
      <c r="F127" s="20"/>
      <c r="G127" s="21" t="s">
        <v>22</v>
      </c>
      <c r="H127" s="22"/>
      <c r="I127" s="67"/>
      <c r="J127" s="67"/>
      <c r="K127" s="68" t="n">
        <f aca="false">L127+M127</f>
        <v>0</v>
      </c>
      <c r="L127" s="68"/>
      <c r="M127" s="68"/>
      <c r="N127" s="67" t="n">
        <v>1</v>
      </c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26"/>
      <c r="G128" s="27" t="s">
        <v>26</v>
      </c>
      <c r="H128" s="26"/>
      <c r="I128" s="58"/>
      <c r="J128" s="58"/>
      <c r="K128" s="59" t="n">
        <f aca="false">L128+M128</f>
        <v>0</v>
      </c>
      <c r="L128" s="59"/>
      <c r="M128" s="59"/>
      <c r="N128" s="58" t="n">
        <v>1</v>
      </c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54"/>
      <c r="B129" s="55" t="s">
        <v>120</v>
      </c>
      <c r="C129" s="56" t="s">
        <v>20</v>
      </c>
      <c r="D129" s="56"/>
      <c r="E129" s="56" t="s">
        <v>25</v>
      </c>
      <c r="F129" s="36"/>
      <c r="G129" s="21" t="s">
        <v>22</v>
      </c>
      <c r="H129" s="38"/>
      <c r="I129" s="61"/>
      <c r="J129" s="61"/>
      <c r="K129" s="62" t="n">
        <f aca="false">L129+M129</f>
        <v>0</v>
      </c>
      <c r="L129" s="62"/>
      <c r="M129" s="62"/>
      <c r="N129" s="61" t="n">
        <v>3</v>
      </c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57"/>
      <c r="G130" s="27" t="s">
        <v>26</v>
      </c>
      <c r="H130" s="26"/>
      <c r="I130" s="58"/>
      <c r="J130" s="58"/>
      <c r="K130" s="59" t="n">
        <f aca="false">L130+M130</f>
        <v>0</v>
      </c>
      <c r="L130" s="59"/>
      <c r="M130" s="59"/>
      <c r="N130" s="58"/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33"/>
      <c r="B131" s="34" t="s">
        <v>152</v>
      </c>
      <c r="C131" s="35" t="s">
        <v>20</v>
      </c>
      <c r="D131" s="35"/>
      <c r="E131" s="35" t="s">
        <v>25</v>
      </c>
      <c r="F131" s="36"/>
      <c r="G131" s="21" t="s">
        <v>22</v>
      </c>
      <c r="H131" s="38"/>
      <c r="I131" s="61"/>
      <c r="J131" s="61"/>
      <c r="K131" s="62" t="n">
        <f aca="false">L131+M131</f>
        <v>0</v>
      </c>
      <c r="L131" s="62"/>
      <c r="M131" s="62"/>
      <c r="N131" s="61" t="n">
        <v>1</v>
      </c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/>
      <c r="G132" s="43" t="s">
        <v>26</v>
      </c>
      <c r="H132" s="42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122</v>
      </c>
      <c r="C133" s="19" t="s">
        <v>20</v>
      </c>
      <c r="D133" s="19"/>
      <c r="E133" s="19" t="s">
        <v>116</v>
      </c>
      <c r="F133" s="20"/>
      <c r="G133" s="21" t="s">
        <v>22</v>
      </c>
      <c r="H133" s="22" t="n">
        <v>6</v>
      </c>
      <c r="I133" s="67" t="n">
        <v>4</v>
      </c>
      <c r="J133" s="67" t="n">
        <v>4</v>
      </c>
      <c r="K133" s="68" t="n">
        <f aca="false">L133+M133</f>
        <v>0</v>
      </c>
      <c r="L133" s="68"/>
      <c r="M133" s="68"/>
      <c r="N133" s="67" t="n">
        <v>8</v>
      </c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26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33"/>
      <c r="B135" s="34" t="s">
        <v>123</v>
      </c>
      <c r="C135" s="35" t="s">
        <v>20</v>
      </c>
      <c r="D135" s="35"/>
      <c r="E135" s="35" t="s">
        <v>25</v>
      </c>
      <c r="F135" s="36"/>
      <c r="G135" s="21" t="s">
        <v>22</v>
      </c>
      <c r="H135" s="38" t="n">
        <v>2</v>
      </c>
      <c r="I135" s="61" t="n">
        <v>2</v>
      </c>
      <c r="J135" s="61" t="n">
        <v>2</v>
      </c>
      <c r="K135" s="62" t="n">
        <f aca="false">L135+M135</f>
        <v>0</v>
      </c>
      <c r="L135" s="62"/>
      <c r="M135" s="62"/>
      <c r="N135" s="61" t="n">
        <v>1</v>
      </c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/>
      <c r="G136" s="43" t="s">
        <v>26</v>
      </c>
      <c r="H136" s="42"/>
      <c r="I136" s="64"/>
      <c r="J136" s="64"/>
      <c r="K136" s="65" t="n">
        <f aca="false">L136+M136</f>
        <v>0</v>
      </c>
      <c r="L136" s="65"/>
      <c r="M136" s="65"/>
      <c r="N136" s="64" t="n">
        <v>1</v>
      </c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124</v>
      </c>
      <c r="C137" s="19" t="s">
        <v>20</v>
      </c>
      <c r="D137" s="19"/>
      <c r="E137" s="19" t="s">
        <v>88</v>
      </c>
      <c r="F137" s="20"/>
      <c r="G137" s="21" t="s">
        <v>22</v>
      </c>
      <c r="H137" s="22" t="n">
        <v>2</v>
      </c>
      <c r="I137" s="67"/>
      <c r="J137" s="67"/>
      <c r="K137" s="68" t="n">
        <f aca="false">L137+M137</f>
        <v>0</v>
      </c>
      <c r="L137" s="68"/>
      <c r="M137" s="68"/>
      <c r="N137" s="67"/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/>
      <c r="G138" s="27" t="s">
        <v>23</v>
      </c>
      <c r="H138" s="26" t="n">
        <v>1</v>
      </c>
      <c r="I138" s="58" t="n">
        <v>1</v>
      </c>
      <c r="J138" s="58" t="n">
        <v>1</v>
      </c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125</v>
      </c>
      <c r="C139" s="35" t="s">
        <v>33</v>
      </c>
      <c r="D139" s="35" t="s">
        <v>126</v>
      </c>
      <c r="E139" s="35" t="s">
        <v>127</v>
      </c>
      <c r="F139" s="36"/>
      <c r="G139" s="21" t="s">
        <v>22</v>
      </c>
      <c r="H139" s="38" t="n">
        <v>4</v>
      </c>
      <c r="I139" s="61"/>
      <c r="J139" s="61"/>
      <c r="K139" s="62" t="n">
        <f aca="false">L139+M139</f>
        <v>0</v>
      </c>
      <c r="L139" s="62"/>
      <c r="M139" s="62"/>
      <c r="N139" s="61" t="n">
        <v>4</v>
      </c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/>
      <c r="G140" s="43" t="s">
        <v>23</v>
      </c>
      <c r="H140" s="42" t="n">
        <v>11</v>
      </c>
      <c r="I140" s="64" t="n">
        <v>2</v>
      </c>
      <c r="J140" s="64" t="n">
        <v>2</v>
      </c>
      <c r="K140" s="65" t="n">
        <f aca="false">L140+M140</f>
        <v>0</v>
      </c>
      <c r="L140" s="65"/>
      <c r="M140" s="65"/>
      <c r="N140" s="64" t="n">
        <v>1</v>
      </c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128</v>
      </c>
      <c r="C141" s="19" t="s">
        <v>20</v>
      </c>
      <c r="D141" s="19"/>
      <c r="E141" s="19" t="s">
        <v>25</v>
      </c>
      <c r="F141" s="20"/>
      <c r="G141" s="21" t="s">
        <v>22</v>
      </c>
      <c r="H141" s="22" t="n">
        <v>6</v>
      </c>
      <c r="I141" s="67" t="n">
        <v>3</v>
      </c>
      <c r="J141" s="67" t="n">
        <v>3</v>
      </c>
      <c r="K141" s="68" t="n">
        <f aca="false">L141+M141</f>
        <v>0</v>
      </c>
      <c r="L141" s="68"/>
      <c r="M141" s="68"/>
      <c r="N141" s="67" t="n">
        <v>9</v>
      </c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26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.75" hidden="false" customHeight="true" outlineLevel="0" collapsed="false">
      <c r="A143" s="72"/>
      <c r="B143" s="73" t="s">
        <v>129</v>
      </c>
      <c r="C143" s="74" t="s">
        <v>38</v>
      </c>
      <c r="D143" s="74" t="s">
        <v>130</v>
      </c>
      <c r="E143" s="74" t="s">
        <v>25</v>
      </c>
      <c r="F143" s="20"/>
      <c r="G143" s="21" t="s">
        <v>22</v>
      </c>
      <c r="H143" s="22" t="n">
        <v>5</v>
      </c>
      <c r="I143" s="67"/>
      <c r="J143" s="67"/>
      <c r="K143" s="68" t="n">
        <f aca="false">L143+M143</f>
        <v>0</v>
      </c>
      <c r="L143" s="68"/>
      <c r="M143" s="68"/>
      <c r="N143" s="67"/>
      <c r="O143" s="68" t="n">
        <f aca="false">P143+Q143</f>
        <v>0</v>
      </c>
      <c r="P143" s="68"/>
      <c r="Q143" s="69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/>
      <c r="G144" s="43" t="s">
        <v>26</v>
      </c>
      <c r="H144" s="42"/>
      <c r="I144" s="64"/>
      <c r="J144" s="64"/>
      <c r="K144" s="65" t="n">
        <f aca="false">L144+M144</f>
        <v>0</v>
      </c>
      <c r="L144" s="65"/>
      <c r="M144" s="65"/>
      <c r="N144" s="64" t="n">
        <v>1</v>
      </c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6.5" hidden="false" customHeight="true" outlineLevel="0" collapsed="false">
      <c r="A145" s="17"/>
      <c r="B145" s="18" t="s">
        <v>131</v>
      </c>
      <c r="C145" s="19" t="s">
        <v>38</v>
      </c>
      <c r="D145" s="19" t="s">
        <v>130</v>
      </c>
      <c r="E145" s="19" t="s">
        <v>25</v>
      </c>
      <c r="F145" s="20"/>
      <c r="G145" s="21" t="s">
        <v>22</v>
      </c>
      <c r="H145" s="22" t="n">
        <v>4</v>
      </c>
      <c r="I145" s="67" t="n">
        <v>2</v>
      </c>
      <c r="J145" s="67" t="n">
        <v>2</v>
      </c>
      <c r="K145" s="68" t="n">
        <f aca="false">L145+M145</f>
        <v>0</v>
      </c>
      <c r="L145" s="68"/>
      <c r="M145" s="68"/>
      <c r="N145" s="67" t="n">
        <v>1</v>
      </c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6.5" hidden="false" customHeight="true" outlineLevel="0" collapsed="false">
      <c r="A146" s="17"/>
      <c r="B146" s="18"/>
      <c r="C146" s="18"/>
      <c r="D146" s="18"/>
      <c r="E146" s="18"/>
      <c r="F146" s="26"/>
      <c r="G146" s="27" t="s">
        <v>26</v>
      </c>
      <c r="H146" s="26"/>
      <c r="I146" s="58"/>
      <c r="J146" s="58"/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9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6.5" hidden="false" customHeight="true" outlineLevel="0" collapsed="false">
      <c r="A147" s="33"/>
      <c r="B147" s="34" t="s">
        <v>132</v>
      </c>
      <c r="C147" s="35" t="s">
        <v>20</v>
      </c>
      <c r="D147" s="35"/>
      <c r="E147" s="35" t="s">
        <v>69</v>
      </c>
      <c r="F147" s="38"/>
      <c r="G147" s="21" t="s">
        <v>22</v>
      </c>
      <c r="H147" s="38" t="n">
        <v>1</v>
      </c>
      <c r="I147" s="61"/>
      <c r="J147" s="61"/>
      <c r="K147" s="62" t="n">
        <f aca="false">L147+M147</f>
        <v>0</v>
      </c>
      <c r="L147" s="62"/>
      <c r="M147" s="62"/>
      <c r="N147" s="61"/>
      <c r="O147" s="62" t="n">
        <f aca="false">P147+Q147</f>
        <v>0</v>
      </c>
      <c r="P147" s="62"/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6.5" hidden="false" customHeight="true" outlineLevel="0" collapsed="false">
      <c r="A148" s="33"/>
      <c r="B148" s="34"/>
      <c r="C148" s="34"/>
      <c r="D148" s="34"/>
      <c r="E148" s="34"/>
      <c r="F148" s="42"/>
      <c r="G148" s="43" t="s">
        <v>26</v>
      </c>
      <c r="H148" s="42"/>
      <c r="I148" s="64"/>
      <c r="J148" s="64"/>
      <c r="K148" s="65" t="n">
        <f aca="false">L148+M148</f>
        <v>0</v>
      </c>
      <c r="L148" s="65"/>
      <c r="M148" s="65"/>
      <c r="N148" s="64"/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6.5" hidden="false" customHeight="true" outlineLevel="0" collapsed="false">
      <c r="A149" s="72"/>
      <c r="B149" s="73" t="s">
        <v>133</v>
      </c>
      <c r="C149" s="74" t="s">
        <v>20</v>
      </c>
      <c r="D149" s="74"/>
      <c r="E149" s="74" t="s">
        <v>25</v>
      </c>
      <c r="F149" s="22"/>
      <c r="G149" s="21" t="s">
        <v>22</v>
      </c>
      <c r="H149" s="22" t="n">
        <v>1</v>
      </c>
      <c r="I149" s="67"/>
      <c r="J149" s="67"/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6.5" hidden="false" customHeight="true" outlineLevel="0" collapsed="false">
      <c r="A150" s="72"/>
      <c r="B150" s="73"/>
      <c r="C150" s="73"/>
      <c r="D150" s="73"/>
      <c r="E150" s="73"/>
      <c r="F150" s="42"/>
      <c r="G150" s="43" t="s">
        <v>26</v>
      </c>
      <c r="H150" s="42" t="n">
        <v>1</v>
      </c>
      <c r="I150" s="64"/>
      <c r="J150" s="64"/>
      <c r="K150" s="65" t="n">
        <f aca="false">L150+M150</f>
        <v>0</v>
      </c>
      <c r="L150" s="65"/>
      <c r="M150" s="65"/>
      <c r="N150" s="64"/>
      <c r="O150" s="65" t="n">
        <f aca="false">P150+Q150</f>
        <v>0</v>
      </c>
      <c r="P150" s="65"/>
      <c r="Q150" s="6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6.5" hidden="false" customHeight="true" outlineLevel="0" collapsed="false">
      <c r="A151" s="72"/>
      <c r="B151" s="73" t="s">
        <v>134</v>
      </c>
      <c r="C151" s="74" t="s">
        <v>20</v>
      </c>
      <c r="D151" s="74"/>
      <c r="E151" s="74" t="s">
        <v>25</v>
      </c>
      <c r="F151" s="20"/>
      <c r="G151" s="21" t="s">
        <v>22</v>
      </c>
      <c r="H151" s="22"/>
      <c r="I151" s="67"/>
      <c r="J151" s="67"/>
      <c r="K151" s="68" t="n">
        <f aca="false">L151+M151</f>
        <v>0</v>
      </c>
      <c r="L151" s="68"/>
      <c r="M151" s="68"/>
      <c r="N151" s="67"/>
      <c r="O151" s="68" t="n">
        <f aca="false">P151+Q151</f>
        <v>0</v>
      </c>
      <c r="P151" s="68"/>
      <c r="Q151" s="69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/>
      <c r="G152" s="43" t="s">
        <v>26</v>
      </c>
      <c r="H152" s="42"/>
      <c r="I152" s="64"/>
      <c r="J152" s="64"/>
      <c r="K152" s="65" t="n">
        <f aca="false">L152+M152</f>
        <v>0</v>
      </c>
      <c r="L152" s="65"/>
      <c r="M152" s="65"/>
      <c r="N152" s="64" t="n">
        <v>1</v>
      </c>
      <c r="O152" s="65" t="n">
        <f aca="false">P152+Q152</f>
        <v>0</v>
      </c>
      <c r="P152" s="65"/>
      <c r="Q152" s="6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true" outlineLevel="0" collapsed="false">
      <c r="A153" s="17"/>
      <c r="B153" s="18" t="s">
        <v>135</v>
      </c>
      <c r="C153" s="19" t="s">
        <v>20</v>
      </c>
      <c r="D153" s="19"/>
      <c r="E153" s="19" t="s">
        <v>69</v>
      </c>
      <c r="F153" s="22"/>
      <c r="G153" s="21" t="s">
        <v>22</v>
      </c>
      <c r="H153" s="22" t="n">
        <v>3</v>
      </c>
      <c r="I153" s="67"/>
      <c r="J153" s="67"/>
      <c r="K153" s="68" t="n">
        <f aca="false">L153+M153</f>
        <v>0</v>
      </c>
      <c r="L153" s="68"/>
      <c r="M153" s="68"/>
      <c r="N153" s="67"/>
      <c r="O153" s="68" t="n">
        <f aca="false">P153+Q153</f>
        <v>0</v>
      </c>
      <c r="P153" s="68"/>
      <c r="Q153" s="69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26"/>
      <c r="G154" s="27" t="s">
        <v>26</v>
      </c>
      <c r="H154" s="26" t="n">
        <v>1</v>
      </c>
      <c r="I154" s="58"/>
      <c r="J154" s="58"/>
      <c r="K154" s="59" t="n">
        <f aca="false">L154+M154</f>
        <v>0</v>
      </c>
      <c r="L154" s="59"/>
      <c r="M154" s="59"/>
      <c r="N154" s="58"/>
      <c r="O154" s="59" t="n">
        <f aca="false">P154+Q154</f>
        <v>0</v>
      </c>
      <c r="P154" s="59"/>
      <c r="Q154" s="60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33"/>
      <c r="B155" s="34" t="s">
        <v>136</v>
      </c>
      <c r="C155" s="35" t="s">
        <v>20</v>
      </c>
      <c r="D155" s="35"/>
      <c r="E155" s="35" t="s">
        <v>98</v>
      </c>
      <c r="F155" s="36"/>
      <c r="G155" s="21" t="s">
        <v>22</v>
      </c>
      <c r="H155" s="38" t="n">
        <v>8</v>
      </c>
      <c r="I155" s="61" t="n">
        <v>2</v>
      </c>
      <c r="J155" s="61" t="n">
        <v>2</v>
      </c>
      <c r="K155" s="62" t="n">
        <f aca="false">L155+M155</f>
        <v>0</v>
      </c>
      <c r="L155" s="62"/>
      <c r="M155" s="62"/>
      <c r="N155" s="61" t="n">
        <v>6</v>
      </c>
      <c r="O155" s="62" t="n">
        <f aca="false">P155+Q155</f>
        <v>0</v>
      </c>
      <c r="P155" s="62"/>
      <c r="Q155" s="63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/>
      <c r="G156" s="43" t="s">
        <v>23</v>
      </c>
      <c r="H156" s="42" t="n">
        <v>2</v>
      </c>
      <c r="I156" s="64" t="n">
        <v>3</v>
      </c>
      <c r="J156" s="64" t="n">
        <v>3</v>
      </c>
      <c r="K156" s="65" t="n">
        <f aca="false">L156+M156</f>
        <v>0</v>
      </c>
      <c r="L156" s="65"/>
      <c r="M156" s="65"/>
      <c r="N156" s="64"/>
      <c r="O156" s="65" t="n">
        <f aca="false">P156+Q156</f>
        <v>0</v>
      </c>
      <c r="P156" s="65"/>
      <c r="Q156" s="6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17"/>
      <c r="B157" s="18" t="s">
        <v>137</v>
      </c>
      <c r="C157" s="19" t="s">
        <v>20</v>
      </c>
      <c r="D157" s="19"/>
      <c r="E157" s="19" t="s">
        <v>25</v>
      </c>
      <c r="F157" s="20"/>
      <c r="G157" s="21" t="s">
        <v>22</v>
      </c>
      <c r="H157" s="22"/>
      <c r="I157" s="67"/>
      <c r="J157" s="67"/>
      <c r="K157" s="68" t="n">
        <f aca="false">L157+M157</f>
        <v>0</v>
      </c>
      <c r="L157" s="68"/>
      <c r="M157" s="68"/>
      <c r="N157" s="67"/>
      <c r="O157" s="68" t="n">
        <f aca="false">P157+Q157</f>
        <v>0</v>
      </c>
      <c r="P157" s="68"/>
      <c r="Q157" s="69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20.25" hidden="false" customHeight="true" outlineLevel="0" collapsed="false">
      <c r="A158" s="17"/>
      <c r="B158" s="18"/>
      <c r="C158" s="18"/>
      <c r="D158" s="18"/>
      <c r="E158" s="18"/>
      <c r="F158" s="26"/>
      <c r="G158" s="27" t="s">
        <v>26</v>
      </c>
      <c r="H158" s="26"/>
      <c r="I158" s="58"/>
      <c r="J158" s="58"/>
      <c r="K158" s="59" t="n">
        <f aca="false">L158+M158</f>
        <v>0</v>
      </c>
      <c r="L158" s="59"/>
      <c r="M158" s="59"/>
      <c r="N158" s="58"/>
      <c r="O158" s="59" t="n">
        <f aca="false">P158+Q158</f>
        <v>0</v>
      </c>
      <c r="P158" s="59"/>
      <c r="Q158" s="60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 t="s">
        <v>138</v>
      </c>
      <c r="C159" s="56" t="s">
        <v>33</v>
      </c>
      <c r="D159" s="56" t="s">
        <v>139</v>
      </c>
      <c r="E159" s="56" t="s">
        <v>25</v>
      </c>
      <c r="F159" s="36"/>
      <c r="G159" s="21" t="s">
        <v>22</v>
      </c>
      <c r="H159" s="38"/>
      <c r="I159" s="61"/>
      <c r="J159" s="61"/>
      <c r="K159" s="62" t="n">
        <f aca="false">L159+M159</f>
        <v>0</v>
      </c>
      <c r="L159" s="62"/>
      <c r="M159" s="62"/>
      <c r="N159" s="61"/>
      <c r="O159" s="62" t="n">
        <f aca="false">P159+Q159</f>
        <v>0</v>
      </c>
      <c r="P159" s="62"/>
      <c r="Q159" s="63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27" t="s">
        <v>26</v>
      </c>
      <c r="H160" s="26" t="n">
        <v>2</v>
      </c>
      <c r="I160" s="58"/>
      <c r="J160" s="58"/>
      <c r="K160" s="59" t="n">
        <f aca="false">L160+M160</f>
        <v>0</v>
      </c>
      <c r="L160" s="59"/>
      <c r="M160" s="59"/>
      <c r="N160" s="58"/>
      <c r="O160" s="59" t="n">
        <f aca="false">P160+Q160</f>
        <v>0</v>
      </c>
      <c r="P160" s="59"/>
      <c r="Q160" s="60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true" outlineLevel="0" collapsed="false">
      <c r="A161" s="33"/>
      <c r="B161" s="34" t="s">
        <v>140</v>
      </c>
      <c r="C161" s="35" t="s">
        <v>20</v>
      </c>
      <c r="D161" s="35"/>
      <c r="E161" s="35" t="s">
        <v>141</v>
      </c>
      <c r="F161" s="36"/>
      <c r="G161" s="21" t="s">
        <v>22</v>
      </c>
      <c r="H161" s="38" t="n">
        <v>1</v>
      </c>
      <c r="I161" s="61"/>
      <c r="J161" s="61"/>
      <c r="K161" s="62" t="n">
        <f aca="false">L161+M161</f>
        <v>0</v>
      </c>
      <c r="L161" s="62"/>
      <c r="M161" s="62"/>
      <c r="N161" s="61" t="n">
        <v>1</v>
      </c>
      <c r="O161" s="62" t="n">
        <f aca="false">P161+Q161</f>
        <v>0</v>
      </c>
      <c r="P161" s="62"/>
      <c r="Q161" s="63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/>
      <c r="G162" s="43" t="s">
        <v>26</v>
      </c>
      <c r="H162" s="42"/>
      <c r="I162" s="64"/>
      <c r="J162" s="64"/>
      <c r="K162" s="65" t="n">
        <f aca="false">L162+M162</f>
        <v>0</v>
      </c>
      <c r="L162" s="65"/>
      <c r="M162" s="65"/>
      <c r="N162" s="64"/>
      <c r="O162" s="65" t="n">
        <f aca="false">P162+Q162</f>
        <v>0</v>
      </c>
      <c r="P162" s="65"/>
      <c r="Q162" s="6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17"/>
      <c r="B163" s="18" t="s">
        <v>142</v>
      </c>
      <c r="C163" s="19" t="s">
        <v>20</v>
      </c>
      <c r="D163" s="19"/>
      <c r="E163" s="19" t="s">
        <v>25</v>
      </c>
      <c r="F163" s="20"/>
      <c r="G163" s="21" t="s">
        <v>22</v>
      </c>
      <c r="H163" s="22" t="n">
        <v>2</v>
      </c>
      <c r="I163" s="67" t="n">
        <v>2</v>
      </c>
      <c r="J163" s="67" t="n">
        <v>2</v>
      </c>
      <c r="K163" s="68" t="n">
        <f aca="false">L163+M163</f>
        <v>0</v>
      </c>
      <c r="L163" s="68"/>
      <c r="M163" s="68"/>
      <c r="N163" s="67" t="n">
        <v>1</v>
      </c>
      <c r="O163" s="68" t="n">
        <f aca="false">P163+Q163</f>
        <v>0</v>
      </c>
      <c r="P163" s="68"/>
      <c r="Q163" s="69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/>
      <c r="G164" s="27" t="s">
        <v>26</v>
      </c>
      <c r="H164" s="26" t="n">
        <v>2</v>
      </c>
      <c r="I164" s="58"/>
      <c r="J164" s="58"/>
      <c r="K164" s="59" t="n">
        <f aca="false">L164+M164</f>
        <v>0</v>
      </c>
      <c r="L164" s="59"/>
      <c r="M164" s="59"/>
      <c r="N164" s="58" t="n">
        <v>1</v>
      </c>
      <c r="O164" s="59" t="n">
        <f aca="false">P164+Q164</f>
        <v>0</v>
      </c>
      <c r="P164" s="59"/>
      <c r="Q164" s="60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33"/>
      <c r="B165" s="34" t="s">
        <v>143</v>
      </c>
      <c r="C165" s="35" t="s">
        <v>20</v>
      </c>
      <c r="D165" s="35"/>
      <c r="E165" s="35" t="s">
        <v>25</v>
      </c>
      <c r="F165" s="36"/>
      <c r="G165" s="21" t="s">
        <v>22</v>
      </c>
      <c r="H165" s="38"/>
      <c r="I165" s="61"/>
      <c r="J165" s="61"/>
      <c r="K165" s="62" t="n">
        <f aca="false">L165+M165</f>
        <v>0</v>
      </c>
      <c r="L165" s="62"/>
      <c r="M165" s="62"/>
      <c r="N165" s="61"/>
      <c r="O165" s="62" t="n">
        <f aca="false">P165+Q165</f>
        <v>0</v>
      </c>
      <c r="P165" s="62"/>
      <c r="Q165" s="63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/>
      <c r="G166" s="43" t="s">
        <v>26</v>
      </c>
      <c r="H166" s="42" t="n">
        <v>1</v>
      </c>
      <c r="I166" s="64"/>
      <c r="J166" s="64"/>
      <c r="K166" s="65" t="n">
        <f aca="false">L166+M166</f>
        <v>0</v>
      </c>
      <c r="L166" s="65"/>
      <c r="M166" s="65"/>
      <c r="N166" s="64"/>
      <c r="O166" s="65" t="n">
        <f aca="false">P166+Q166</f>
        <v>0</v>
      </c>
      <c r="P166" s="65"/>
      <c r="Q166" s="6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 t="s">
        <v>144</v>
      </c>
      <c r="C167" s="19" t="s">
        <v>20</v>
      </c>
      <c r="D167" s="19"/>
      <c r="E167" s="19" t="s">
        <v>81</v>
      </c>
      <c r="F167" s="20"/>
      <c r="G167" s="21" t="s">
        <v>22</v>
      </c>
      <c r="H167" s="22" t="n">
        <v>1</v>
      </c>
      <c r="I167" s="67"/>
      <c r="J167" s="67"/>
      <c r="K167" s="68" t="n">
        <f aca="false">L167+M167</f>
        <v>0</v>
      </c>
      <c r="L167" s="68"/>
      <c r="M167" s="68"/>
      <c r="N167" s="67" t="n">
        <v>2</v>
      </c>
      <c r="O167" s="68" t="n">
        <f aca="false">P167+Q167</f>
        <v>0</v>
      </c>
      <c r="P167" s="68"/>
      <c r="Q167" s="69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/>
      <c r="G168" s="27" t="s">
        <v>26</v>
      </c>
      <c r="H168" s="26" t="n">
        <v>5</v>
      </c>
      <c r="I168" s="58"/>
      <c r="J168" s="58"/>
      <c r="K168" s="59" t="n">
        <f aca="false">L168+M168</f>
        <v>0</v>
      </c>
      <c r="L168" s="59"/>
      <c r="M168" s="59"/>
      <c r="N168" s="58" t="n">
        <v>1</v>
      </c>
      <c r="O168" s="59" t="n">
        <f aca="false">P168+Q168</f>
        <v>0</v>
      </c>
      <c r="P168" s="59"/>
      <c r="Q168" s="60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" hidden="false" customHeight="true" outlineLevel="0" collapsed="false">
      <c r="A169" s="33"/>
      <c r="B169" s="34" t="s">
        <v>145</v>
      </c>
      <c r="C169" s="35" t="s">
        <v>20</v>
      </c>
      <c r="D169" s="35"/>
      <c r="E169" s="35" t="s">
        <v>98</v>
      </c>
      <c r="F169" s="36"/>
      <c r="G169" s="21" t="s">
        <v>22</v>
      </c>
      <c r="H169" s="38"/>
      <c r="I169" s="61"/>
      <c r="J169" s="61"/>
      <c r="K169" s="62" t="n">
        <f aca="false">L169+M169</f>
        <v>0</v>
      </c>
      <c r="L169" s="62"/>
      <c r="M169" s="62"/>
      <c r="N169" s="61"/>
      <c r="O169" s="62" t="n">
        <f aca="false">P169+Q169</f>
        <v>0</v>
      </c>
      <c r="P169" s="62"/>
      <c r="Q169" s="63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71"/>
      <c r="G170" s="43" t="s">
        <v>23</v>
      </c>
      <c r="H170" s="42"/>
      <c r="I170" s="64"/>
      <c r="J170" s="64"/>
      <c r="K170" s="65" t="n">
        <f aca="false">L170+M170</f>
        <v>0</v>
      </c>
      <c r="L170" s="65"/>
      <c r="M170" s="65"/>
      <c r="N170" s="64"/>
      <c r="O170" s="65" t="n">
        <f aca="false">P170+Q170</f>
        <v>0</v>
      </c>
      <c r="P170" s="65"/>
      <c r="Q170" s="6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" hidden="false" customHeight="true" outlineLevel="0" collapsed="false">
      <c r="A171" s="17"/>
      <c r="B171" s="18" t="s">
        <v>146</v>
      </c>
      <c r="C171" s="19" t="s">
        <v>20</v>
      </c>
      <c r="D171" s="19"/>
      <c r="E171" s="19" t="s">
        <v>25</v>
      </c>
      <c r="F171" s="22"/>
      <c r="G171" s="21" t="s">
        <v>22</v>
      </c>
      <c r="H171" s="22" t="n">
        <v>2</v>
      </c>
      <c r="I171" s="67"/>
      <c r="J171" s="67"/>
      <c r="K171" s="68" t="n">
        <f aca="false">L171+M171</f>
        <v>0</v>
      </c>
      <c r="L171" s="68"/>
      <c r="M171" s="68"/>
      <c r="N171" s="67"/>
      <c r="O171" s="68" t="n">
        <f aca="false">P171+Q171</f>
        <v>0</v>
      </c>
      <c r="P171" s="68"/>
      <c r="Q171" s="69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/>
      <c r="G172" s="27" t="s">
        <v>26</v>
      </c>
      <c r="H172" s="26"/>
      <c r="I172" s="58"/>
      <c r="J172" s="58"/>
      <c r="K172" s="59" t="n">
        <f aca="false">L172+M172</f>
        <v>0</v>
      </c>
      <c r="L172" s="59"/>
      <c r="M172" s="59"/>
      <c r="N172" s="58"/>
      <c r="O172" s="59" t="n">
        <f aca="false">P172+Q172</f>
        <v>0</v>
      </c>
      <c r="P172" s="59"/>
      <c r="Q172" s="60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 t="s">
        <v>147</v>
      </c>
      <c r="C173" s="56" t="s">
        <v>20</v>
      </c>
      <c r="D173" s="56"/>
      <c r="E173" s="56" t="s">
        <v>25</v>
      </c>
      <c r="F173" s="97"/>
      <c r="G173" s="21" t="s">
        <v>22</v>
      </c>
      <c r="H173" s="38" t="n">
        <v>1</v>
      </c>
      <c r="I173" s="61"/>
      <c r="J173" s="61"/>
      <c r="K173" s="62" t="n">
        <f aca="false">L173+M173</f>
        <v>0</v>
      </c>
      <c r="L173" s="62"/>
      <c r="M173" s="62"/>
      <c r="N173" s="61" t="n">
        <v>1</v>
      </c>
      <c r="O173" s="62" t="n">
        <f aca="false">P173+Q173</f>
        <v>0</v>
      </c>
      <c r="P173" s="62"/>
      <c r="Q173" s="63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26"/>
      <c r="G174" s="27" t="s">
        <v>26</v>
      </c>
      <c r="H174" s="26" t="n">
        <v>2</v>
      </c>
      <c r="I174" s="58"/>
      <c r="J174" s="58"/>
      <c r="K174" s="59" t="n">
        <f aca="false">L174+M174</f>
        <v>0</v>
      </c>
      <c r="L174" s="59"/>
      <c r="M174" s="59"/>
      <c r="N174" s="58" t="n">
        <v>1</v>
      </c>
      <c r="O174" s="59" t="n">
        <f aca="false">P174+Q174</f>
        <v>0</v>
      </c>
      <c r="P174" s="59"/>
      <c r="Q174" s="98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" hidden="false" customHeight="true" outlineLevel="0" collapsed="false">
      <c r="A175" s="17"/>
      <c r="B175" s="18" t="s">
        <v>148</v>
      </c>
      <c r="C175" s="19" t="s">
        <v>20</v>
      </c>
      <c r="D175" s="19"/>
      <c r="E175" s="19" t="s">
        <v>21</v>
      </c>
      <c r="F175" s="22"/>
      <c r="G175" s="21" t="s">
        <v>22</v>
      </c>
      <c r="H175" s="22" t="n">
        <v>1</v>
      </c>
      <c r="I175" s="67"/>
      <c r="J175" s="67"/>
      <c r="K175" s="68" t="n">
        <f aca="false">L175+M175</f>
        <v>0</v>
      </c>
      <c r="L175" s="68"/>
      <c r="M175" s="68"/>
      <c r="N175" s="67"/>
      <c r="O175" s="68" t="n">
        <f aca="false">P175+Q175</f>
        <v>0</v>
      </c>
      <c r="P175" s="68"/>
      <c r="Q175" s="69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/>
      <c r="C176" s="18"/>
      <c r="D176" s="18"/>
      <c r="E176" s="18"/>
      <c r="F176" s="26"/>
      <c r="G176" s="27" t="s">
        <v>23</v>
      </c>
      <c r="H176" s="26" t="n">
        <v>1</v>
      </c>
      <c r="I176" s="58"/>
      <c r="J176" s="58"/>
      <c r="K176" s="59" t="n">
        <f aca="false">L176+M176</f>
        <v>0</v>
      </c>
      <c r="L176" s="59"/>
      <c r="M176" s="59"/>
      <c r="N176" s="58"/>
      <c r="O176" s="59" t="n">
        <f aca="false">P176+Q176</f>
        <v>0</v>
      </c>
      <c r="P176" s="59"/>
      <c r="Q176" s="60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99"/>
      <c r="B177" s="100" t="s">
        <v>149</v>
      </c>
      <c r="C177" s="100"/>
      <c r="D177" s="100"/>
      <c r="E177" s="100"/>
      <c r="F177" s="100"/>
      <c r="G177" s="100"/>
      <c r="H177" s="100" t="n">
        <f aca="false">SUM(H9:H176)</f>
        <v>225</v>
      </c>
      <c r="I177" s="100" t="n">
        <f aca="false">SUM(I9:I176)</f>
        <v>59</v>
      </c>
      <c r="J177" s="100" t="n">
        <f aca="false">SUM(J9:J176)</f>
        <v>60</v>
      </c>
      <c r="K177" s="101" t="n">
        <f aca="false">SUM(K9:K176)</f>
        <v>0</v>
      </c>
      <c r="L177" s="101" t="n">
        <f aca="false">SUM(L9:L176)</f>
        <v>0</v>
      </c>
      <c r="M177" s="102" t="n">
        <f aca="false">SUM(M9:M176)</f>
        <v>0</v>
      </c>
      <c r="N177" s="100" t="n">
        <f aca="false">SUM(N9:N176)</f>
        <v>168</v>
      </c>
      <c r="O177" s="102" t="n">
        <f aca="false">SUM(O9:O176)</f>
        <v>0</v>
      </c>
      <c r="P177" s="102" t="n">
        <f aca="false">SUM(P9:P176)</f>
        <v>0</v>
      </c>
      <c r="Q177" s="102" t="n">
        <f aca="false">SUM(Q9:Q176)</f>
        <v>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" hidden="false" customHeight="false" outlineLevel="0" collapsed="false">
      <c r="A178" s="2"/>
      <c r="B178" s="2"/>
      <c r="C178" s="2"/>
      <c r="D178" s="2"/>
      <c r="E178" s="2"/>
      <c r="F178" s="2"/>
      <c r="G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" hidden="false" customHeight="true" outlineLevel="0" collapsed="false">
      <c r="A181" s="2"/>
      <c r="B181" s="2"/>
      <c r="C181" s="2"/>
      <c r="D181" s="2"/>
      <c r="E181" s="2"/>
      <c r="F181" s="103"/>
      <c r="G181" s="104" t="s">
        <v>5</v>
      </c>
      <c r="H181" s="104"/>
      <c r="I181" s="104"/>
      <c r="J181" s="104"/>
      <c r="K181" s="104"/>
      <c r="L181" s="104"/>
      <c r="M181" s="104" t="s">
        <v>6</v>
      </c>
      <c r="N181" s="104"/>
      <c r="O181" s="104"/>
      <c r="P181" s="104"/>
      <c r="Q181" s="105" t="s">
        <v>150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false" outlineLevel="0" collapsed="false">
      <c r="A182" s="2"/>
      <c r="B182" s="2"/>
      <c r="C182" s="2"/>
      <c r="D182" s="2"/>
      <c r="E182" s="2"/>
      <c r="F182" s="103"/>
      <c r="G182" s="106" t="s">
        <v>13</v>
      </c>
      <c r="H182" s="106" t="s">
        <v>14</v>
      </c>
      <c r="I182" s="106" t="s">
        <v>15</v>
      </c>
      <c r="J182" s="106" t="s">
        <v>16</v>
      </c>
      <c r="K182" s="106" t="s">
        <v>17</v>
      </c>
      <c r="L182" s="106" t="s">
        <v>18</v>
      </c>
      <c r="M182" s="106" t="s">
        <v>15</v>
      </c>
      <c r="N182" s="106" t="s">
        <v>16</v>
      </c>
      <c r="O182" s="106" t="s">
        <v>17</v>
      </c>
      <c r="P182" s="106" t="s">
        <v>18</v>
      </c>
      <c r="Q182" s="105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" hidden="false" customHeight="false" outlineLevel="0" collapsed="false">
      <c r="A183" s="2"/>
      <c r="B183" s="2"/>
      <c r="C183" s="2"/>
      <c r="D183" s="2"/>
      <c r="E183" s="2"/>
      <c r="F183" s="107" t="s">
        <v>22</v>
      </c>
      <c r="G183" s="108" t="n">
        <f aca="false">SUMIF($G$9:$G$176,$F$183,H9:H176)</f>
        <v>154</v>
      </c>
      <c r="H183" s="108" t="n">
        <f aca="false">SUMIF($G$9:$G$176,$F$183,I9:I176)</f>
        <v>49</v>
      </c>
      <c r="I183" s="108" t="n">
        <f aca="false">SUMIF($G$9:$G$176,$F$183,J9:J176)</f>
        <v>50</v>
      </c>
      <c r="J183" s="109" t="n">
        <f aca="false">SUMIF($G$9:$G$176,$F$183,K9:K176)</f>
        <v>0</v>
      </c>
      <c r="K183" s="109" t="n">
        <f aca="false">SUMIF($G$9:$G$176,$F$183,L9:L176)</f>
        <v>0</v>
      </c>
      <c r="L183" s="109" t="n">
        <f aca="false">SUMIF($G$9:$G$176,$F$183,M9:M176)</f>
        <v>0</v>
      </c>
      <c r="M183" s="108" t="n">
        <f aca="false">SUMIF($G$9:$G$176,$F$183,N9:N176)</f>
        <v>124</v>
      </c>
      <c r="N183" s="109" t="n">
        <f aca="false">SUMIF($G$9:$G$176,$F$183,O9:O176)</f>
        <v>0</v>
      </c>
      <c r="O183" s="109" t="n">
        <f aca="false">SUMIF($G$9:$G$176,$F$183,P9:P176)</f>
        <v>0</v>
      </c>
      <c r="P183" s="109" t="n">
        <f aca="false">SUMIF($G$9:$G$176,$F$183,Q9:Q176)</f>
        <v>0</v>
      </c>
      <c r="Q183" s="110" t="n">
        <f aca="false">O183+K183</f>
        <v>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false" outlineLevel="0" collapsed="false">
      <c r="A184" s="2"/>
      <c r="B184" s="2"/>
      <c r="C184" s="2"/>
      <c r="D184" s="2"/>
      <c r="E184" s="2"/>
      <c r="F184" s="107" t="s">
        <v>26</v>
      </c>
      <c r="G184" s="108" t="n">
        <f aca="false">SUMIF($G$9:$G$176,$F$184,H9:H176)</f>
        <v>42</v>
      </c>
      <c r="H184" s="108" t="n">
        <f aca="false">SUMIF($G$9:$G$176,$F$184,I9:I176)</f>
        <v>0</v>
      </c>
      <c r="I184" s="108" t="n">
        <f aca="false">SUMIF($G$9:$G$176,$F$184,J9:J176)</f>
        <v>0</v>
      </c>
      <c r="J184" s="109" t="n">
        <f aca="false">SUMIF($G$9:$G$176,$F$184,K9:K176)</f>
        <v>0</v>
      </c>
      <c r="K184" s="109" t="n">
        <f aca="false">SUMIF($G$9:$G$176,$F$184,L9:L176)</f>
        <v>0</v>
      </c>
      <c r="L184" s="109" t="n">
        <f aca="false">SUMIF($G$9:$G$176,$F$184,M9:M176)</f>
        <v>0</v>
      </c>
      <c r="M184" s="108" t="n">
        <f aca="false">SUMIF($G$9:$G$176,$F$184,N9:N176)</f>
        <v>38</v>
      </c>
      <c r="N184" s="109" t="n">
        <f aca="false">SUMIF($G$9:$G$176,$F$184,O9:O176)</f>
        <v>0</v>
      </c>
      <c r="O184" s="109" t="n">
        <f aca="false">SUMIF($G$9:$G$176,$F$184,P9:P176)</f>
        <v>0</v>
      </c>
      <c r="P184" s="109" t="n">
        <f aca="false">SUMIF($G$9:$G$176,$F$184,Q9:Q176)</f>
        <v>0</v>
      </c>
      <c r="Q184" s="110" t="n">
        <f aca="false">O184+K184</f>
        <v>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" hidden="false" customHeight="false" outlineLevel="0" collapsed="false">
      <c r="A185" s="2"/>
      <c r="B185" s="2"/>
      <c r="C185" s="2"/>
      <c r="D185" s="2"/>
      <c r="E185" s="2"/>
      <c r="F185" s="107" t="s">
        <v>23</v>
      </c>
      <c r="G185" s="108" t="n">
        <f aca="false">SUMIF($G$9:$G$176,$F$185,H9:H176)</f>
        <v>29</v>
      </c>
      <c r="H185" s="108" t="n">
        <f aca="false">SUMIF($G$9:$G$176,$F$185,I9:I176)</f>
        <v>10</v>
      </c>
      <c r="I185" s="108" t="n">
        <f aca="false">SUMIF($G$9:$G$176,$F$185,J9:J176)</f>
        <v>10</v>
      </c>
      <c r="J185" s="109" t="n">
        <f aca="false">SUMIF($G$9:$G$176,$F$185,K9:K176)</f>
        <v>0</v>
      </c>
      <c r="K185" s="109" t="n">
        <f aca="false">SUMIF($G$9:$G$176,$F$185,L9:L176)</f>
        <v>0</v>
      </c>
      <c r="L185" s="109" t="n">
        <f aca="false">SUMIF($G$9:$G$176,$F$185,M9:M176)</f>
        <v>0</v>
      </c>
      <c r="M185" s="108" t="n">
        <f aca="false">SUMIF($G$9:$G$176,$F$185,N9:N176)</f>
        <v>6</v>
      </c>
      <c r="N185" s="109" t="n">
        <f aca="false">SUMIF($G$9:$G$176,$F$185,O9:O176)</f>
        <v>0</v>
      </c>
      <c r="O185" s="109" t="n">
        <f aca="false">SUMIF($G$9:$G$176,$F$185,P9:P176)</f>
        <v>0</v>
      </c>
      <c r="P185" s="109" t="n">
        <f aca="false">SUMIF($G$9:$G$176,$F$185,Q9:Q176)</f>
        <v>0</v>
      </c>
      <c r="Q185" s="110" t="n">
        <f aca="false">O185+K185</f>
        <v>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1" t="n">
        <f aca="false">Q185+Q184+Q183</f>
        <v>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" hidden="false" customHeight="false" outlineLevel="0" collapsed="false">
      <c r="A189" s="2"/>
      <c r="B189" s="2"/>
      <c r="C189" s="2"/>
      <c r="D189" s="2"/>
      <c r="E189" s="2"/>
      <c r="F189" s="2"/>
      <c r="G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</sheetData>
  <mergeCells count="42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3"/>
    <mergeCell ref="B71:B73"/>
    <mergeCell ref="C71:C73"/>
    <mergeCell ref="D71:D73"/>
    <mergeCell ref="E71:E73"/>
    <mergeCell ref="A74:A75"/>
    <mergeCell ref="B74:B75"/>
    <mergeCell ref="C74:C75"/>
    <mergeCell ref="D74:D75"/>
    <mergeCell ref="E74:E75"/>
    <mergeCell ref="A76:A77"/>
    <mergeCell ref="B76:B77"/>
    <mergeCell ref="C76:C77"/>
    <mergeCell ref="D76:D77"/>
    <mergeCell ref="E76:E77"/>
    <mergeCell ref="A78:A79"/>
    <mergeCell ref="B78:B79"/>
    <mergeCell ref="C78:C79"/>
    <mergeCell ref="D78:D79"/>
    <mergeCell ref="E78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2"/>
    <mergeCell ref="B90:B92"/>
    <mergeCell ref="C90:C92"/>
    <mergeCell ref="D90:D92"/>
    <mergeCell ref="E90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F181:F182"/>
    <mergeCell ref="G181:L181"/>
    <mergeCell ref="M181:P181"/>
    <mergeCell ref="Q181:Q182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10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28887.49</v>
      </c>
      <c r="S9" s="190" t="n">
        <v>8136.08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27</v>
      </c>
      <c r="I11" s="160" t="n">
        <v>20</v>
      </c>
      <c r="J11" s="160" t="n">
        <v>35</v>
      </c>
      <c r="K11" s="161" t="n">
        <v>76881.26</v>
      </c>
      <c r="L11" s="161" t="n">
        <f aca="false">M11+N11</f>
        <v>71801.93</v>
      </c>
      <c r="M11" s="161" t="n">
        <v>71801.93</v>
      </c>
      <c r="N11" s="239"/>
      <c r="O11" s="151" t="n">
        <v>10</v>
      </c>
      <c r="P11" s="149" t="n">
        <v>43781.55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7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32</v>
      </c>
      <c r="I13" s="148" t="n">
        <v>28</v>
      </c>
      <c r="J13" s="148" t="n">
        <v>41</v>
      </c>
      <c r="K13" s="149" t="n">
        <v>61975.11</v>
      </c>
      <c r="L13" s="149" t="n">
        <f aca="false">M13+N13</f>
        <v>53490.39</v>
      </c>
      <c r="M13" s="149" t="n">
        <v>53490.39</v>
      </c>
      <c r="N13" s="249"/>
      <c r="O13" s="228" t="n">
        <v>7</v>
      </c>
      <c r="P13" s="161" t="n">
        <v>21729.06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5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16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9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16</v>
      </c>
      <c r="J21" s="160" t="n">
        <v>20</v>
      </c>
      <c r="K21" s="161" t="n">
        <v>26434.9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29</v>
      </c>
      <c r="I23" s="160" t="n">
        <v>24</v>
      </c>
      <c r="J23" s="160" t="n">
        <v>40</v>
      </c>
      <c r="K23" s="161" t="n">
        <v>58838.45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27</v>
      </c>
      <c r="I25" s="148" t="n">
        <v>21</v>
      </c>
      <c r="J25" s="148" t="n">
        <v>21</v>
      </c>
      <c r="K25" s="148" t="n">
        <v>8879.88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25</v>
      </c>
      <c r="J27" s="160" t="n">
        <v>40</v>
      </c>
      <c r="K27" s="161" t="n">
        <v>75002.91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5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10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17</v>
      </c>
      <c r="I34" s="165" t="n">
        <v>3</v>
      </c>
      <c r="J34" s="165" t="n">
        <v>3</v>
      </c>
      <c r="K34" s="166" t="n">
        <v>6519.4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3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20</v>
      </c>
      <c r="I37" s="160" t="n">
        <v>13</v>
      </c>
      <c r="J37" s="160" t="n">
        <v>14</v>
      </c>
      <c r="K37" s="161" t="n">
        <v>24575.19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12</v>
      </c>
      <c r="I38" s="154" t="n">
        <v>9</v>
      </c>
      <c r="J38" s="154" t="n">
        <v>9</v>
      </c>
      <c r="K38" s="155" t="n">
        <v>12694.65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20</v>
      </c>
      <c r="I43" s="160" t="n">
        <v>16</v>
      </c>
      <c r="J43" s="160" t="n">
        <v>22</v>
      </c>
      <c r="K43" s="161" t="n">
        <v>47965.48</v>
      </c>
      <c r="L43" s="161" t="n">
        <f aca="false">M43+N43</f>
        <v>45365.83</v>
      </c>
      <c r="M43" s="161" t="n">
        <v>36053.18</v>
      </c>
      <c r="N43" s="190" t="n">
        <v>9312.65</v>
      </c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8</v>
      </c>
      <c r="P46" s="166" t="n">
        <v>19654.4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4</v>
      </c>
      <c r="P47" s="149" t="n">
        <v>12699.01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11</v>
      </c>
      <c r="I48" s="154" t="n">
        <v>4</v>
      </c>
      <c r="J48" s="154" t="n">
        <v>4</v>
      </c>
      <c r="K48" s="155" t="n">
        <v>11265.88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7</v>
      </c>
      <c r="P48" s="155" t="n">
        <v>17663.63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59</v>
      </c>
      <c r="I53" s="148" t="n">
        <v>53</v>
      </c>
      <c r="J53" s="148" t="n">
        <v>54</v>
      </c>
      <c r="K53" s="149" t="n">
        <v>66691.35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6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32</v>
      </c>
      <c r="I55" s="160" t="n">
        <v>23</v>
      </c>
      <c r="J55" s="160" t="n">
        <v>32</v>
      </c>
      <c r="K55" s="161" t="n">
        <v>59571.37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8</v>
      </c>
      <c r="I57" s="160" t="n">
        <v>6</v>
      </c>
      <c r="J57" s="160" t="n">
        <v>7</v>
      </c>
      <c r="K57" s="161" t="n">
        <v>18775.06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6</v>
      </c>
      <c r="I59" s="148" t="n">
        <v>5</v>
      </c>
      <c r="J59" s="148" t="n">
        <v>6</v>
      </c>
      <c r="K59" s="149" t="n">
        <v>16365.84</v>
      </c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9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8</v>
      </c>
      <c r="I63" s="148" t="n">
        <v>4</v>
      </c>
      <c r="J63" s="148" t="n">
        <v>4</v>
      </c>
      <c r="K63" s="149" t="n">
        <v>1638.66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8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16</v>
      </c>
      <c r="I65" s="160" t="n">
        <v>16</v>
      </c>
      <c r="J65" s="160" t="n">
        <v>20</v>
      </c>
      <c r="K65" s="161" t="n">
        <v>38491.65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7</v>
      </c>
      <c r="J67" s="148" t="n">
        <v>10</v>
      </c>
      <c r="K67" s="149" t="n">
        <v>22953.89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9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29</v>
      </c>
      <c r="I71" s="148" t="n">
        <v>20</v>
      </c>
      <c r="J71" s="148" t="n">
        <v>23</v>
      </c>
      <c r="K71" s="149" t="n">
        <v>49173.24</v>
      </c>
      <c r="L71" s="149" t="n">
        <f aca="false">M71+N71</f>
        <v>49173.24</v>
      </c>
      <c r="M71" s="149" t="n">
        <v>35297.27</v>
      </c>
      <c r="N71" s="190" t="n">
        <v>13875.97</v>
      </c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37</v>
      </c>
      <c r="I73" s="160" t="n">
        <v>27</v>
      </c>
      <c r="J73" s="160" t="n">
        <v>35</v>
      </c>
      <c r="K73" s="161" t="n">
        <v>74580.45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2</v>
      </c>
      <c r="J74" s="165" t="n">
        <v>2</v>
      </c>
      <c r="K74" s="166" t="n">
        <v>1771.96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17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15</v>
      </c>
      <c r="I81" s="148" t="n">
        <v>9</v>
      </c>
      <c r="J81" s="148" t="n">
        <v>9</v>
      </c>
      <c r="K81" s="149" t="n">
        <v>32053.43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26</v>
      </c>
      <c r="I82" s="154" t="n">
        <v>15</v>
      </c>
      <c r="J82" s="154" t="n">
        <v>15</v>
      </c>
      <c r="K82" s="155" t="n">
        <v>24396.22</v>
      </c>
      <c r="L82" s="155" t="n">
        <v>19787.82</v>
      </c>
      <c r="M82" s="155" t="n">
        <v>19787.82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1</v>
      </c>
      <c r="P83" s="161" t="n">
        <v>5123.54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5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10</v>
      </c>
      <c r="P85" s="149" t="n">
        <v>30652.75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12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37</v>
      </c>
      <c r="I90" s="165" t="n">
        <v>36</v>
      </c>
      <c r="J90" s="165" t="n">
        <v>36</v>
      </c>
      <c r="K90" s="166" t="n">
        <v>43819.35</v>
      </c>
      <c r="L90" s="166" t="n">
        <v>41149.9</v>
      </c>
      <c r="M90" s="166" t="n">
        <v>41149.9</v>
      </c>
      <c r="N90" s="156"/>
      <c r="O90" s="168" t="n">
        <v>36</v>
      </c>
      <c r="P90" s="166" t="n">
        <v>73763.42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8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9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13</v>
      </c>
      <c r="I93" s="148" t="n">
        <v>7</v>
      </c>
      <c r="J93" s="148" t="n">
        <v>8</v>
      </c>
      <c r="K93" s="149" t="n">
        <v>17007.72</v>
      </c>
      <c r="L93" s="149" t="n">
        <f aca="false">M93+N93</f>
        <v>14215.51</v>
      </c>
      <c r="M93" s="149" t="n">
        <v>14215.51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9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11</v>
      </c>
      <c r="I97" s="160" t="n">
        <v>9</v>
      </c>
      <c r="J97" s="160" t="n">
        <v>11</v>
      </c>
      <c r="K97" s="161" t="n">
        <v>18008.96</v>
      </c>
      <c r="L97" s="161" t="n">
        <f aca="false">M97+N97</f>
        <v>11231.55</v>
      </c>
      <c r="M97" s="161" t="n">
        <v>11231.55</v>
      </c>
      <c r="N97" s="190"/>
      <c r="O97" s="163" t="n">
        <v>8</v>
      </c>
      <c r="P97" s="161" t="n">
        <v>51100.74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8</v>
      </c>
      <c r="I98" s="165" t="n">
        <v>4</v>
      </c>
      <c r="J98" s="165" t="n">
        <v>4</v>
      </c>
      <c r="K98" s="166" t="n">
        <v>8223.23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7</v>
      </c>
      <c r="I99" s="148" t="n">
        <v>4</v>
      </c>
      <c r="J99" s="148" t="n">
        <v>5</v>
      </c>
      <c r="K99" s="149" t="n">
        <v>9768.84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33</v>
      </c>
      <c r="I101" s="160" t="n">
        <v>28</v>
      </c>
      <c r="J101" s="160" t="n">
        <v>32</v>
      </c>
      <c r="K101" s="161" t="n">
        <v>63185.25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23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12723.15</v>
      </c>
      <c r="M103" s="149" t="n">
        <v>12723.15</v>
      </c>
      <c r="N103" s="190"/>
      <c r="O103" s="151" t="n">
        <v>3</v>
      </c>
      <c r="P103" s="149" t="n">
        <v>18333.88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11</v>
      </c>
      <c r="I105" s="148" t="n">
        <v>11</v>
      </c>
      <c r="J105" s="148" t="n">
        <v>13</v>
      </c>
      <c r="K105" s="149" t="n">
        <v>11054.79</v>
      </c>
      <c r="L105" s="149" t="n">
        <f aca="false">M105+N105</f>
        <v>11054.79</v>
      </c>
      <c r="M105" s="149" t="n">
        <v>11054.79</v>
      </c>
      <c r="N105" s="190"/>
      <c r="O105" s="151" t="n">
        <v>9</v>
      </c>
      <c r="P105" s="149" t="n">
        <v>50436.95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6038.2</v>
      </c>
      <c r="M107" s="155" t="n">
        <v>6038.2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9</v>
      </c>
      <c r="I108" s="160" t="n">
        <v>6</v>
      </c>
      <c r="J108" s="160" t="n">
        <v>7</v>
      </c>
      <c r="K108" s="161" t="n">
        <v>13195.1</v>
      </c>
      <c r="L108" s="161" t="n">
        <f aca="false">M108+N108</f>
        <v>11123.42</v>
      </c>
      <c r="M108" s="161" t="n">
        <v>11123.42</v>
      </c>
      <c r="N108" s="190"/>
      <c r="O108" s="163" t="n">
        <v>11</v>
      </c>
      <c r="P108" s="161" t="n">
        <v>40851.54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33</v>
      </c>
      <c r="I112" s="148" t="n">
        <v>29</v>
      </c>
      <c r="J112" s="148" t="n">
        <v>39</v>
      </c>
      <c r="K112" s="149" t="n">
        <v>54849.81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5</v>
      </c>
      <c r="J113" s="165" t="n">
        <v>5</v>
      </c>
      <c r="K113" s="166" t="n">
        <v>13607.25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13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34</v>
      </c>
      <c r="I118" s="160" t="n">
        <v>24</v>
      </c>
      <c r="J118" s="160" t="n">
        <v>34</v>
      </c>
      <c r="K118" s="161" t="n">
        <v>61737.14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10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38</v>
      </c>
      <c r="I122" s="148" t="n">
        <v>25</v>
      </c>
      <c r="J122" s="148" t="n">
        <v>31</v>
      </c>
      <c r="K122" s="149" t="n">
        <v>38966.3</v>
      </c>
      <c r="L122" s="149" t="n">
        <f aca="false">M122+N122</f>
        <v>34241.19</v>
      </c>
      <c r="M122" s="149" t="n">
        <v>19998.93</v>
      </c>
      <c r="N122" s="190" t="n">
        <v>14242.26</v>
      </c>
      <c r="O122" s="151" t="n">
        <v>17</v>
      </c>
      <c r="P122" s="149" t="n">
        <v>27287.32</v>
      </c>
      <c r="Q122" s="149" t="n">
        <f aca="false">R122+S122</f>
        <v>19539.73</v>
      </c>
      <c r="R122" s="149" t="n">
        <v>17228.94</v>
      </c>
      <c r="S122" s="190" t="n">
        <v>2310.79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27</v>
      </c>
      <c r="I123" s="165" t="n">
        <v>18</v>
      </c>
      <c r="J123" s="165" t="n">
        <v>18</v>
      </c>
      <c r="K123" s="166" t="n">
        <v>18712.39</v>
      </c>
      <c r="L123" s="166" t="n">
        <v>17623.79</v>
      </c>
      <c r="M123" s="166" t="n">
        <v>17623.79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28</v>
      </c>
      <c r="I124" s="148" t="n">
        <v>19</v>
      </c>
      <c r="J124" s="148" t="n">
        <v>26</v>
      </c>
      <c r="K124" s="149" t="n">
        <v>120678.58</v>
      </c>
      <c r="L124" s="149" t="n">
        <f aca="false">M124+N124</f>
        <v>78634.92</v>
      </c>
      <c r="M124" s="149" t="n">
        <v>78634.92</v>
      </c>
      <c r="N124" s="190"/>
      <c r="O124" s="151" t="n">
        <v>21</v>
      </c>
      <c r="P124" s="149" t="n">
        <v>72506.93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36</v>
      </c>
      <c r="I126" s="160" t="n">
        <v>14</v>
      </c>
      <c r="J126" s="160" t="n">
        <v>15</v>
      </c>
      <c r="K126" s="161" t="n">
        <v>50248.5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22</v>
      </c>
      <c r="I136" s="165" t="n">
        <v>14</v>
      </c>
      <c r="J136" s="165" t="n">
        <v>14</v>
      </c>
      <c r="K136" s="166" t="n">
        <v>13017.85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36</v>
      </c>
      <c r="I137" s="148" t="n">
        <v>28</v>
      </c>
      <c r="J137" s="148" t="n">
        <v>36</v>
      </c>
      <c r="K137" s="149" t="n">
        <v>94984.29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15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12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27</v>
      </c>
      <c r="I142" s="160" t="n">
        <v>20</v>
      </c>
      <c r="J142" s="160" t="n">
        <v>22</v>
      </c>
      <c r="K142" s="161" t="n">
        <v>11923.35</v>
      </c>
      <c r="L142" s="161" t="n">
        <f aca="false">M142+N142</f>
        <v>11923.35</v>
      </c>
      <c r="M142" s="161" t="n">
        <v>7606.2</v>
      </c>
      <c r="N142" s="190" t="n">
        <v>4317.15</v>
      </c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48668.87</v>
      </c>
      <c r="S142" s="190" t="n">
        <v>8075.9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14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4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7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23</v>
      </c>
      <c r="I147" s="160" t="n">
        <v>20</v>
      </c>
      <c r="J147" s="160" t="n">
        <v>21</v>
      </c>
      <c r="K147" s="161" t="n">
        <v>24735.74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7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7</v>
      </c>
      <c r="I149" s="148" t="n">
        <v>4</v>
      </c>
      <c r="J149" s="148" t="n">
        <v>5</v>
      </c>
      <c r="K149" s="149" t="n">
        <v>10058.94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 t="n">
        <v>2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/>
      <c r="J153" s="160"/>
      <c r="K153" s="161"/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42" t="s">
        <v>281</v>
      </c>
      <c r="G154" s="164" t="s">
        <v>26</v>
      </c>
      <c r="H154" s="175" t="n">
        <v>3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304</v>
      </c>
      <c r="C155" s="19"/>
      <c r="D155" s="19"/>
      <c r="E155" s="19" t="s">
        <v>25</v>
      </c>
      <c r="F155" s="20"/>
      <c r="G155" s="21" t="s">
        <v>22</v>
      </c>
      <c r="H155" s="21" t="n">
        <v>2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105</v>
      </c>
      <c r="C157" s="35" t="s">
        <v>33</v>
      </c>
      <c r="D157" s="35" t="s">
        <v>106</v>
      </c>
      <c r="E157" s="35" t="s">
        <v>107</v>
      </c>
      <c r="F157" s="36"/>
      <c r="G157" s="158" t="s">
        <v>22</v>
      </c>
      <c r="H157" s="169" t="n">
        <v>8</v>
      </c>
      <c r="I157" s="160" t="n">
        <v>3</v>
      </c>
      <c r="J157" s="160" t="n">
        <v>3</v>
      </c>
      <c r="K157" s="161" t="n">
        <v>2479.18</v>
      </c>
      <c r="L157" s="161" t="n">
        <f aca="false">M157+N157</f>
        <v>1617.46</v>
      </c>
      <c r="M157" s="161" t="n">
        <v>1617.46</v>
      </c>
      <c r="N157" s="190"/>
      <c r="O157" s="163" t="n">
        <v>13</v>
      </c>
      <c r="P157" s="161" t="n">
        <v>57322.59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194</v>
      </c>
      <c r="G158" s="164" t="s">
        <v>26</v>
      </c>
      <c r="H158" s="153" t="n">
        <v>2</v>
      </c>
      <c r="I158" s="165"/>
      <c r="J158" s="165"/>
      <c r="K158" s="166"/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73" t="s">
        <v>108</v>
      </c>
      <c r="C159" s="74" t="s">
        <v>33</v>
      </c>
      <c r="D159" s="74" t="s">
        <v>109</v>
      </c>
      <c r="E159" s="74" t="s">
        <v>25</v>
      </c>
      <c r="F159" s="20"/>
      <c r="G159" s="146" t="s">
        <v>22</v>
      </c>
      <c r="H159" s="159" t="n">
        <v>13</v>
      </c>
      <c r="I159" s="148" t="n">
        <v>12</v>
      </c>
      <c r="J159" s="148" t="n">
        <v>14</v>
      </c>
      <c r="K159" s="149" t="n">
        <v>34241.94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73"/>
      <c r="C160" s="73"/>
      <c r="D160" s="73"/>
      <c r="E160" s="73"/>
      <c r="F160" s="4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 t="s">
        <v>110</v>
      </c>
      <c r="C161" s="19" t="s">
        <v>33</v>
      </c>
      <c r="D161" s="19" t="s">
        <v>111</v>
      </c>
      <c r="E161" s="19" t="s">
        <v>25</v>
      </c>
      <c r="F161" s="20"/>
      <c r="G161" s="146" t="s">
        <v>22</v>
      </c>
      <c r="H161" s="159" t="n">
        <v>31</v>
      </c>
      <c r="I161" s="148" t="n">
        <v>27</v>
      </c>
      <c r="J161" s="193" t="n">
        <v>33</v>
      </c>
      <c r="K161" s="149" t="n">
        <v>41438.77</v>
      </c>
      <c r="L161" s="149" t="n">
        <f aca="false">M161+N161</f>
        <v>37553.38</v>
      </c>
      <c r="M161" s="149" t="n">
        <v>25113.93</v>
      </c>
      <c r="N161" s="190" t="n">
        <v>12439.45</v>
      </c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4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40" t="s">
        <v>282</v>
      </c>
      <c r="C163" s="19" t="s">
        <v>33</v>
      </c>
      <c r="D163" s="19" t="s">
        <v>283</v>
      </c>
      <c r="E163" s="19" t="s">
        <v>284</v>
      </c>
      <c r="F163" s="20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40"/>
      <c r="C164" s="19"/>
      <c r="D164" s="19"/>
      <c r="E164" s="19"/>
      <c r="F164" s="26" t="s">
        <v>285</v>
      </c>
      <c r="G164" s="152" t="s">
        <v>23</v>
      </c>
      <c r="H164" s="174" t="n">
        <v>7</v>
      </c>
      <c r="I164" s="154" t="n">
        <v>2</v>
      </c>
      <c r="J164" s="154" t="n">
        <v>2</v>
      </c>
      <c r="K164" s="242" t="n">
        <v>1472.8</v>
      </c>
      <c r="L164" s="242" t="n">
        <f aca="false">M164+N164</f>
        <v>1472.8</v>
      </c>
      <c r="M164" s="242" t="n">
        <v>1472.8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34" t="s">
        <v>112</v>
      </c>
      <c r="C165" s="35" t="s">
        <v>20</v>
      </c>
      <c r="D165" s="35" t="s">
        <v>197</v>
      </c>
      <c r="E165" s="35" t="s">
        <v>25</v>
      </c>
      <c r="F165" s="36"/>
      <c r="G165" s="158" t="s">
        <v>22</v>
      </c>
      <c r="H165" s="159" t="n">
        <v>25</v>
      </c>
      <c r="I165" s="160" t="n">
        <v>24</v>
      </c>
      <c r="J165" s="160" t="n">
        <v>34</v>
      </c>
      <c r="K165" s="140" t="n">
        <v>86897.36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26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18" t="s">
        <v>113</v>
      </c>
      <c r="C167" s="19" t="s">
        <v>20</v>
      </c>
      <c r="D167" s="19"/>
      <c r="E167" s="19" t="s">
        <v>31</v>
      </c>
      <c r="F167" s="36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32741.22</v>
      </c>
      <c r="M167" s="149" t="n">
        <v>32741.22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57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34" t="s">
        <v>114</v>
      </c>
      <c r="C169" s="35" t="s">
        <v>20</v>
      </c>
      <c r="D169" s="95"/>
      <c r="E169" s="35" t="s">
        <v>25</v>
      </c>
      <c r="F169" s="71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4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 t="s">
        <v>243</v>
      </c>
      <c r="C171" s="219"/>
      <c r="D171" s="19"/>
      <c r="E171" s="19"/>
      <c r="F171" s="20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4062.29</v>
      </c>
      <c r="M171" s="149" t="n">
        <v>4062.29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200</v>
      </c>
      <c r="C173" s="220"/>
      <c r="D173" s="56"/>
      <c r="E173" s="56"/>
      <c r="F173" s="36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57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 t="s">
        <v>115</v>
      </c>
      <c r="C175" s="56" t="s">
        <v>20</v>
      </c>
      <c r="D175" s="56"/>
      <c r="E175" s="56" t="s">
        <v>116</v>
      </c>
      <c r="F175" s="36"/>
      <c r="G175" s="158" t="s">
        <v>22</v>
      </c>
      <c r="H175" s="159" t="n">
        <v>22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55"/>
      <c r="C176" s="55"/>
      <c r="D176" s="55"/>
      <c r="E176" s="55"/>
      <c r="F176" s="42" t="s">
        <v>201</v>
      </c>
      <c r="G176" s="164" t="s">
        <v>26</v>
      </c>
      <c r="H176" s="172" t="n">
        <v>12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18" t="s">
        <v>157</v>
      </c>
      <c r="C177" s="19"/>
      <c r="D177" s="19"/>
      <c r="E177" s="127"/>
      <c r="F177" s="22"/>
      <c r="G177" s="146" t="s">
        <v>22</v>
      </c>
      <c r="H177" s="147" t="n">
        <v>13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18"/>
      <c r="C178" s="18"/>
      <c r="D178" s="18"/>
      <c r="E178" s="127"/>
      <c r="F178" s="26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34" t="s">
        <v>117</v>
      </c>
      <c r="C179" s="35" t="s">
        <v>33</v>
      </c>
      <c r="D179" s="35" t="s">
        <v>118</v>
      </c>
      <c r="E179" s="74" t="s">
        <v>25</v>
      </c>
      <c r="F179" s="89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34"/>
      <c r="C180" s="34"/>
      <c r="D180" s="34"/>
      <c r="E180" s="34"/>
      <c r="F180" s="4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34"/>
      <c r="C181" s="34"/>
      <c r="D181" s="34"/>
      <c r="E181" s="34"/>
      <c r="F181" s="4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119</v>
      </c>
      <c r="C182" s="19" t="s">
        <v>20</v>
      </c>
      <c r="D182" s="19"/>
      <c r="E182" s="19" t="s">
        <v>25</v>
      </c>
      <c r="F182" s="20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203</v>
      </c>
      <c r="G183" s="164" t="s">
        <v>26</v>
      </c>
      <c r="H183" s="175" t="n">
        <v>6</v>
      </c>
      <c r="I183" s="165" t="n">
        <v>2</v>
      </c>
      <c r="J183" s="165" t="n">
        <v>2</v>
      </c>
      <c r="K183" s="166" t="n">
        <v>1812.59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3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225</v>
      </c>
      <c r="C184" s="19"/>
      <c r="D184" s="19"/>
      <c r="E184" s="19"/>
      <c r="F184" s="20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18"/>
      <c r="C185" s="18"/>
      <c r="D185" s="18"/>
      <c r="E185" s="18"/>
      <c r="F185" s="26" t="s">
        <v>244</v>
      </c>
      <c r="G185" s="152" t="s">
        <v>23</v>
      </c>
      <c r="H185" s="176" t="n">
        <v>16</v>
      </c>
      <c r="I185" s="154" t="n">
        <v>12</v>
      </c>
      <c r="J185" s="154" t="n">
        <v>12</v>
      </c>
      <c r="K185" s="155" t="n">
        <v>17230</v>
      </c>
      <c r="L185" s="155" t="n">
        <v>17230</v>
      </c>
      <c r="M185" s="155" t="n">
        <v>17230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55" t="s">
        <v>120</v>
      </c>
      <c r="C186" s="56" t="s">
        <v>20</v>
      </c>
      <c r="D186" s="56"/>
      <c r="E186" s="56" t="s">
        <v>25</v>
      </c>
      <c r="F186" s="36"/>
      <c r="G186" s="158" t="s">
        <v>22</v>
      </c>
      <c r="H186" s="169"/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55"/>
      <c r="C187" s="55"/>
      <c r="D187" s="55"/>
      <c r="E187" s="55"/>
      <c r="F187" s="71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18" t="s">
        <v>158</v>
      </c>
      <c r="C188" s="74"/>
      <c r="D188" s="56" t="s">
        <v>204</v>
      </c>
      <c r="E188" s="74"/>
      <c r="F188" s="53"/>
      <c r="G188" s="146" t="s">
        <v>22</v>
      </c>
      <c r="H188" s="195" t="n">
        <v>1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18"/>
      <c r="C189" s="56"/>
      <c r="D189" s="56"/>
      <c r="E189" s="56"/>
      <c r="F189" s="138" t="s">
        <v>205</v>
      </c>
      <c r="G189" s="152" t="s">
        <v>26</v>
      </c>
      <c r="H189" s="153" t="n">
        <v>7</v>
      </c>
      <c r="I189" s="200" t="n">
        <v>4</v>
      </c>
      <c r="J189" s="200" t="n">
        <v>4</v>
      </c>
      <c r="K189" s="201" t="n">
        <v>6580.06</v>
      </c>
      <c r="L189" s="201" t="n">
        <f aca="false">M189+N189</f>
        <v>1104.6</v>
      </c>
      <c r="M189" s="201" t="n">
        <f aca="false">1104.6</f>
        <v>1104.6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34" t="s">
        <v>152</v>
      </c>
      <c r="C190" s="35" t="s">
        <v>20</v>
      </c>
      <c r="D190" s="35"/>
      <c r="E190" s="35" t="s">
        <v>25</v>
      </c>
      <c r="F190" s="36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206</v>
      </c>
      <c r="G191" s="164" t="s">
        <v>26</v>
      </c>
      <c r="H191" s="171" t="n">
        <v>4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18" t="s">
        <v>122</v>
      </c>
      <c r="C192" s="19" t="s">
        <v>20</v>
      </c>
      <c r="D192" s="19"/>
      <c r="E192" s="19" t="s">
        <v>116</v>
      </c>
      <c r="F192" s="20"/>
      <c r="G192" s="146" t="s">
        <v>22</v>
      </c>
      <c r="H192" s="159" t="n">
        <v>44</v>
      </c>
      <c r="I192" s="148" t="n">
        <v>43</v>
      </c>
      <c r="J192" s="148" t="n">
        <v>60</v>
      </c>
      <c r="K192" s="149" t="n">
        <v>93504.71</v>
      </c>
      <c r="L192" s="149" t="n">
        <f aca="false">M192+N192</f>
        <v>89688.59</v>
      </c>
      <c r="M192" s="149" t="n">
        <v>76981</v>
      </c>
      <c r="N192" s="190" t="n">
        <v>12707.59</v>
      </c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125821.41</v>
      </c>
      <c r="S192" s="190" t="n">
        <v>10347.08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123</v>
      </c>
      <c r="C194" s="35" t="s">
        <v>20</v>
      </c>
      <c r="D194" s="35"/>
      <c r="E194" s="35" t="s">
        <v>25</v>
      </c>
      <c r="F194" s="36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207</v>
      </c>
      <c r="G195" s="164" t="s">
        <v>26</v>
      </c>
      <c r="H195" s="153" t="n">
        <v>9</v>
      </c>
      <c r="I195" s="165" t="n">
        <v>3</v>
      </c>
      <c r="J195" s="165" t="n">
        <v>3</v>
      </c>
      <c r="K195" s="166" t="n">
        <v>3313.8</v>
      </c>
      <c r="L195" s="161" t="n">
        <f aca="false">M195+N195</f>
        <v>2761.5</v>
      </c>
      <c r="M195" s="166" t="n">
        <f aca="false">2761.5</f>
        <v>2761.5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124</v>
      </c>
      <c r="C196" s="19" t="s">
        <v>20</v>
      </c>
      <c r="D196" s="19"/>
      <c r="E196" s="19" t="s">
        <v>88</v>
      </c>
      <c r="F196" s="20"/>
      <c r="G196" s="146" t="s">
        <v>22</v>
      </c>
      <c r="H196" s="159" t="n">
        <v>22</v>
      </c>
      <c r="I196" s="148" t="n">
        <v>14</v>
      </c>
      <c r="J196" s="148" t="n">
        <v>15</v>
      </c>
      <c r="K196" s="149" t="n">
        <v>27094.04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4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208</v>
      </c>
      <c r="C198" s="19"/>
      <c r="D198" s="19"/>
      <c r="E198" s="127"/>
      <c r="F198" s="20"/>
      <c r="G198" s="146" t="s">
        <v>22</v>
      </c>
      <c r="H198" s="173" t="n">
        <v>50</v>
      </c>
      <c r="I198" s="148" t="n">
        <v>37</v>
      </c>
      <c r="J198" s="148" t="n">
        <v>37</v>
      </c>
      <c r="K198" s="149" t="n">
        <v>43241.42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28"/>
      <c r="F199" s="26" t="s">
        <v>246</v>
      </c>
      <c r="G199" s="152" t="s">
        <v>23</v>
      </c>
      <c r="H199" s="174" t="n">
        <v>14</v>
      </c>
      <c r="I199" s="154" t="n">
        <v>7</v>
      </c>
      <c r="J199" s="154" t="n">
        <v>7</v>
      </c>
      <c r="K199" s="155" t="n">
        <v>6375.01</v>
      </c>
      <c r="L199" s="155" t="n">
        <f aca="false">M199+N199</f>
        <v>6375.01</v>
      </c>
      <c r="M199" s="155" t="n">
        <v>6375.01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125</v>
      </c>
      <c r="C200" s="35" t="s">
        <v>33</v>
      </c>
      <c r="D200" s="35" t="s">
        <v>126</v>
      </c>
      <c r="E200" s="35" t="s">
        <v>127</v>
      </c>
      <c r="F200" s="36"/>
      <c r="G200" s="158" t="s">
        <v>22</v>
      </c>
      <c r="H200" s="159" t="n">
        <v>20</v>
      </c>
      <c r="I200" s="160" t="n">
        <v>11</v>
      </c>
      <c r="J200" s="160" t="n">
        <v>15</v>
      </c>
      <c r="K200" s="161" t="n">
        <v>45075.64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/>
      <c r="G201" s="164" t="s">
        <v>23</v>
      </c>
      <c r="H201" s="171" t="n">
        <v>35</v>
      </c>
      <c r="I201" s="165" t="n">
        <v>15</v>
      </c>
      <c r="J201" s="165" t="n">
        <v>15</v>
      </c>
      <c r="K201" s="166" t="n">
        <v>32666.09</v>
      </c>
      <c r="L201" s="166" t="n">
        <v>28413.38</v>
      </c>
      <c r="M201" s="166" t="n">
        <v>28413.38</v>
      </c>
      <c r="N201" s="156"/>
      <c r="O201" s="168" t="n">
        <v>16</v>
      </c>
      <c r="P201" s="166" t="n">
        <v>44153.02</v>
      </c>
      <c r="Q201" s="166" t="n">
        <v>44153.02</v>
      </c>
      <c r="R201" s="166" t="n">
        <v>44153.02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128</v>
      </c>
      <c r="C202" s="19" t="s">
        <v>20</v>
      </c>
      <c r="D202" s="19"/>
      <c r="E202" s="19" t="s">
        <v>25</v>
      </c>
      <c r="F202" s="20"/>
      <c r="G202" s="146" t="s">
        <v>22</v>
      </c>
      <c r="H202" s="159" t="n">
        <v>28</v>
      </c>
      <c r="I202" s="148" t="n">
        <v>25</v>
      </c>
      <c r="J202" s="148" t="n">
        <v>30</v>
      </c>
      <c r="K202" s="149" t="n">
        <v>31480.96</v>
      </c>
      <c r="L202" s="149" t="n">
        <f aca="false">M202+N202</f>
        <v>23180.8</v>
      </c>
      <c r="M202" s="149" t="n">
        <v>23180.8</v>
      </c>
      <c r="N202" s="190"/>
      <c r="O202" s="151" t="n">
        <v>25</v>
      </c>
      <c r="P202" s="149" t="n">
        <v>47491.14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227</v>
      </c>
      <c r="C204" s="19"/>
      <c r="D204" s="19"/>
      <c r="E204" s="19"/>
      <c r="F204" s="20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71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296</v>
      </c>
      <c r="C206" s="19"/>
      <c r="D206" s="19"/>
      <c r="E206" s="19" t="s">
        <v>25</v>
      </c>
      <c r="F206" s="20"/>
      <c r="G206" s="146" t="s">
        <v>22</v>
      </c>
      <c r="H206" s="173" t="n">
        <v>3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57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34" t="s">
        <v>129</v>
      </c>
      <c r="C208" s="35" t="s">
        <v>38</v>
      </c>
      <c r="D208" s="35" t="s">
        <v>130</v>
      </c>
      <c r="E208" s="35" t="s">
        <v>25</v>
      </c>
      <c r="F208" s="36"/>
      <c r="G208" s="158" t="s">
        <v>22</v>
      </c>
      <c r="H208" s="159" t="n">
        <v>19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34"/>
      <c r="C209" s="34"/>
      <c r="D209" s="34"/>
      <c r="E209" s="34"/>
      <c r="F209" s="42" t="s">
        <v>209</v>
      </c>
      <c r="G209" s="164" t="s">
        <v>26</v>
      </c>
      <c r="H209" s="153" t="n">
        <v>6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18" t="s">
        <v>131</v>
      </c>
      <c r="C210" s="19" t="s">
        <v>38</v>
      </c>
      <c r="D210" s="19" t="s">
        <v>130</v>
      </c>
      <c r="E210" s="19" t="s">
        <v>25</v>
      </c>
      <c r="F210" s="20"/>
      <c r="G210" s="146" t="s">
        <v>22</v>
      </c>
      <c r="H210" s="159" t="n">
        <v>13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18"/>
      <c r="C211" s="18"/>
      <c r="D211" s="18"/>
      <c r="E211" s="18"/>
      <c r="F211" s="26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34" t="s">
        <v>132</v>
      </c>
      <c r="C212" s="35" t="s">
        <v>20</v>
      </c>
      <c r="D212" s="35"/>
      <c r="E212" s="35" t="s">
        <v>69</v>
      </c>
      <c r="F212" s="38"/>
      <c r="G212" s="146" t="s">
        <v>22</v>
      </c>
      <c r="H212" s="159" t="n">
        <v>18</v>
      </c>
      <c r="I212" s="160" t="n">
        <v>13</v>
      </c>
      <c r="J212" s="160" t="n">
        <v>22</v>
      </c>
      <c r="K212" s="161" t="n">
        <v>48466.94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34"/>
      <c r="C213" s="34"/>
      <c r="D213" s="34"/>
      <c r="E213" s="34"/>
      <c r="F213" s="42" t="s">
        <v>211</v>
      </c>
      <c r="G213" s="164" t="s">
        <v>26</v>
      </c>
      <c r="H213" s="153" t="n">
        <v>11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133</v>
      </c>
      <c r="C214" s="74" t="s">
        <v>20</v>
      </c>
      <c r="D214" s="74"/>
      <c r="E214" s="74" t="s">
        <v>25</v>
      </c>
      <c r="F214" s="22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7984.73</v>
      </c>
      <c r="M214" s="149" t="n">
        <v>7984.73</v>
      </c>
      <c r="N214" s="190"/>
      <c r="O214" s="151" t="n">
        <v>3</v>
      </c>
      <c r="P214" s="149" t="n">
        <v>5504.35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73"/>
      <c r="C215" s="73"/>
      <c r="D215" s="73"/>
      <c r="E215" s="73"/>
      <c r="F215" s="42" t="s">
        <v>212</v>
      </c>
      <c r="G215" s="164" t="s">
        <v>26</v>
      </c>
      <c r="H215" s="171" t="n">
        <v>4</v>
      </c>
      <c r="I215" s="165" t="n">
        <v>1</v>
      </c>
      <c r="J215" s="165" t="n">
        <v>1</v>
      </c>
      <c r="K215" s="166" t="n">
        <v>1409.6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73" t="s">
        <v>134</v>
      </c>
      <c r="C216" s="74" t="s">
        <v>20</v>
      </c>
      <c r="D216" s="74"/>
      <c r="E216" s="74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73"/>
      <c r="C217" s="73"/>
      <c r="D217" s="73"/>
      <c r="E217" s="73"/>
      <c r="F217" s="4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18" t="s">
        <v>135</v>
      </c>
      <c r="C218" s="19" t="s">
        <v>20</v>
      </c>
      <c r="D218" s="19"/>
      <c r="E218" s="19" t="s">
        <v>69</v>
      </c>
      <c r="F218" s="22"/>
      <c r="G218" s="146" t="s">
        <v>22</v>
      </c>
      <c r="H218" s="159" t="n">
        <v>22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277</v>
      </c>
      <c r="G219" s="152" t="s">
        <v>26</v>
      </c>
      <c r="H219" s="171" t="n">
        <v>9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136</v>
      </c>
      <c r="C220" s="35" t="s">
        <v>20</v>
      </c>
      <c r="D220" s="35"/>
      <c r="E220" s="35" t="s">
        <v>98</v>
      </c>
      <c r="F220" s="36"/>
      <c r="G220" s="146" t="s">
        <v>22</v>
      </c>
      <c r="H220" s="159" t="n">
        <v>24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137</v>
      </c>
      <c r="C222" s="19" t="s">
        <v>20</v>
      </c>
      <c r="D222" s="19"/>
      <c r="E222" s="19" t="s">
        <v>25</v>
      </c>
      <c r="F222" s="20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18"/>
      <c r="C223" s="18"/>
      <c r="D223" s="18"/>
      <c r="E223" s="18"/>
      <c r="F223" s="26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138</v>
      </c>
      <c r="C224" s="56" t="s">
        <v>33</v>
      </c>
      <c r="D224" s="56" t="s">
        <v>139</v>
      </c>
      <c r="E224" s="56" t="s">
        <v>25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34" t="s">
        <v>140</v>
      </c>
      <c r="C226" s="35" t="s">
        <v>20</v>
      </c>
      <c r="D226" s="35"/>
      <c r="E226" s="35" t="s">
        <v>141</v>
      </c>
      <c r="F226" s="36"/>
      <c r="G226" s="146" t="s">
        <v>22</v>
      </c>
      <c r="H226" s="159" t="n">
        <v>23</v>
      </c>
      <c r="I226" s="160" t="n">
        <v>18</v>
      </c>
      <c r="J226" s="160" t="n">
        <v>29</v>
      </c>
      <c r="K226" s="161" t="n">
        <v>45981.11</v>
      </c>
      <c r="L226" s="161" t="n">
        <f aca="false">M226+N226</f>
        <v>45981.11</v>
      </c>
      <c r="M226" s="161" t="n">
        <v>45981.11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215</v>
      </c>
      <c r="G227" s="164" t="s">
        <v>26</v>
      </c>
      <c r="H227" s="175" t="n">
        <v>2</v>
      </c>
      <c r="I227" s="165" t="n">
        <v>2</v>
      </c>
      <c r="J227" s="165" t="n">
        <v>2</v>
      </c>
      <c r="K227" s="166" t="n">
        <v>1159.83</v>
      </c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251</v>
      </c>
      <c r="C228" s="19" t="s">
        <v>20</v>
      </c>
      <c r="D228" s="19"/>
      <c r="E228" s="19" t="s">
        <v>116</v>
      </c>
      <c r="F228" s="20"/>
      <c r="G228" s="146" t="s">
        <v>22</v>
      </c>
      <c r="H228" s="173" t="n">
        <v>6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252</v>
      </c>
      <c r="G229" s="152" t="s">
        <v>26</v>
      </c>
      <c r="H229" s="174" t="n">
        <v>9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142</v>
      </c>
      <c r="C230" s="56" t="s">
        <v>20</v>
      </c>
      <c r="D230" s="56"/>
      <c r="E230" s="56" t="s">
        <v>25</v>
      </c>
      <c r="F230" s="36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42" t="s">
        <v>216</v>
      </c>
      <c r="G231" s="164" t="s">
        <v>26</v>
      </c>
      <c r="H231" s="177" t="n">
        <v>9</v>
      </c>
      <c r="I231" s="165" t="n">
        <v>5</v>
      </c>
      <c r="J231" s="165" t="n">
        <v>5</v>
      </c>
      <c r="K231" s="166" t="n">
        <v>10225.1</v>
      </c>
      <c r="L231" s="166" t="n">
        <f aca="false">M231+N231</f>
        <v>5990.8</v>
      </c>
      <c r="M231" s="166" t="n">
        <f aca="false">5167.21+823.59</f>
        <v>5990.8</v>
      </c>
      <c r="N231" s="167"/>
      <c r="O231" s="238" t="n">
        <v>14</v>
      </c>
      <c r="P231" s="166" t="n">
        <v>14903.5</v>
      </c>
      <c r="Q231" s="166" t="n">
        <f aca="false">R231+S231</f>
        <v>14903.5</v>
      </c>
      <c r="R231" s="166" t="n">
        <f aca="false">14903.5</f>
        <v>14903.5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287</v>
      </c>
      <c r="C232" s="56" t="s">
        <v>20</v>
      </c>
      <c r="D232" s="19"/>
      <c r="E232" s="56" t="s">
        <v>25</v>
      </c>
      <c r="F232" s="20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288</v>
      </c>
      <c r="G233" s="152" t="s">
        <v>26</v>
      </c>
      <c r="H233" s="176" t="n">
        <v>8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34" t="s">
        <v>143</v>
      </c>
      <c r="C234" s="35" t="s">
        <v>20</v>
      </c>
      <c r="D234" s="35"/>
      <c r="E234" s="35" t="s">
        <v>25</v>
      </c>
      <c r="F234" s="36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34"/>
      <c r="C235" s="34"/>
      <c r="D235" s="34"/>
      <c r="E235" s="34"/>
      <c r="F235" s="42" t="s">
        <v>217</v>
      </c>
      <c r="G235" s="164" t="s">
        <v>26</v>
      </c>
      <c r="H235" s="171" t="n">
        <v>9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144</v>
      </c>
      <c r="C236" s="19" t="s">
        <v>20</v>
      </c>
      <c r="D236" s="19"/>
      <c r="E236" s="19" t="s">
        <v>81</v>
      </c>
      <c r="F236" s="20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34" t="s">
        <v>145</v>
      </c>
      <c r="C238" s="35" t="s">
        <v>20</v>
      </c>
      <c r="D238" s="35"/>
      <c r="E238" s="35" t="s">
        <v>98</v>
      </c>
      <c r="F238" s="36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34"/>
      <c r="C239" s="34"/>
      <c r="D239" s="34"/>
      <c r="E239" s="34"/>
      <c r="F239" s="71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146</v>
      </c>
      <c r="C240" s="19" t="s">
        <v>20</v>
      </c>
      <c r="D240" s="19"/>
      <c r="E240" s="19" t="s">
        <v>25</v>
      </c>
      <c r="F240" s="22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16027.46</v>
      </c>
      <c r="M240" s="149" t="n">
        <v>13677.7</v>
      </c>
      <c r="N240" s="190" t="n">
        <v>2349.76</v>
      </c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42" t="s">
        <v>219</v>
      </c>
      <c r="G241" s="164" t="s">
        <v>26</v>
      </c>
      <c r="H241" s="178" t="n">
        <v>6</v>
      </c>
      <c r="I241" s="165" t="n">
        <v>5</v>
      </c>
      <c r="J241" s="165" t="n">
        <v>5</v>
      </c>
      <c r="K241" s="166" t="n">
        <v>9225.65</v>
      </c>
      <c r="L241" s="166" t="n">
        <f aca="false">M241+N241</f>
        <v>3150.65</v>
      </c>
      <c r="M241" s="166" t="n">
        <f aca="false">3150.65</f>
        <v>3150.65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18" t="s">
        <v>289</v>
      </c>
      <c r="C242" s="19"/>
      <c r="D242" s="19"/>
      <c r="E242" s="19"/>
      <c r="F242" s="20"/>
      <c r="G242" s="146" t="s">
        <v>22</v>
      </c>
      <c r="H242" s="173" t="n">
        <v>7</v>
      </c>
      <c r="I242" s="148" t="n">
        <v>6</v>
      </c>
      <c r="J242" s="148" t="n">
        <v>10</v>
      </c>
      <c r="K242" s="149" t="n">
        <v>10180.58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18"/>
      <c r="C243" s="18"/>
      <c r="D243" s="18"/>
      <c r="E243" s="18"/>
      <c r="F243" s="57"/>
      <c r="G243" s="152" t="s">
        <v>23</v>
      </c>
      <c r="H243" s="174" t="n">
        <v>4</v>
      </c>
      <c r="I243" s="154" t="n">
        <v>2</v>
      </c>
      <c r="J243" s="154" t="n">
        <v>2</v>
      </c>
      <c r="K243" s="155" t="n">
        <v>3743.41</v>
      </c>
      <c r="L243" s="155" t="n">
        <v>2325.84</v>
      </c>
      <c r="M243" s="155" t="n">
        <v>2325.84</v>
      </c>
      <c r="N243" s="226"/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55" t="s">
        <v>147</v>
      </c>
      <c r="C244" s="56" t="s">
        <v>20</v>
      </c>
      <c r="D244" s="56"/>
      <c r="E244" s="56" t="s">
        <v>25</v>
      </c>
      <c r="F244" s="97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55"/>
      <c r="C245" s="55"/>
      <c r="D245" s="55"/>
      <c r="E245" s="55"/>
      <c r="F245" s="42" t="s">
        <v>220</v>
      </c>
      <c r="G245" s="164" t="s">
        <v>26</v>
      </c>
      <c r="H245" s="172" t="n">
        <v>12</v>
      </c>
      <c r="I245" s="165" t="n">
        <v>6</v>
      </c>
      <c r="J245" s="165" t="n">
        <v>7</v>
      </c>
      <c r="K245" s="166" t="n">
        <v>17440.6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18" t="s">
        <v>297</v>
      </c>
      <c r="C246" s="19"/>
      <c r="D246" s="19"/>
      <c r="E246" s="19" t="s">
        <v>25</v>
      </c>
      <c r="F246" s="22"/>
      <c r="G246" s="146" t="s">
        <v>22</v>
      </c>
      <c r="H246" s="173" t="n">
        <v>4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18"/>
      <c r="C247" s="18"/>
      <c r="D247" s="18"/>
      <c r="E247" s="18"/>
      <c r="F247" s="26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55" t="s">
        <v>148</v>
      </c>
      <c r="C248" s="56" t="s">
        <v>20</v>
      </c>
      <c r="D248" s="56"/>
      <c r="E248" s="56" t="s">
        <v>21</v>
      </c>
      <c r="F248" s="38"/>
      <c r="G248" s="158" t="s">
        <v>22</v>
      </c>
      <c r="H248" s="159" t="n">
        <v>3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55"/>
      <c r="C249" s="55"/>
      <c r="D249" s="55"/>
      <c r="E249" s="55"/>
      <c r="F249" s="26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2321</v>
      </c>
      <c r="I250" s="214" t="n">
        <f aca="false">SUM(I9:I249)</f>
        <v>1483</v>
      </c>
      <c r="J250" s="214" t="n">
        <f aca="false">SUM(J9:J249)</f>
        <v>1783</v>
      </c>
      <c r="K250" s="215" t="n">
        <f aca="false">SUM(K9:K249)</f>
        <v>3091775.53</v>
      </c>
      <c r="L250" s="215" t="n">
        <f aca="false">SUM(L9:L249)</f>
        <v>2490563.34</v>
      </c>
      <c r="M250" s="215" t="n">
        <f aca="false">SUM(M9:M249)</f>
        <v>2407387.23</v>
      </c>
      <c r="N250" s="243" t="n">
        <f aca="false">SUM(N9:N249)</f>
        <v>83170.61</v>
      </c>
      <c r="O250" s="244" t="n">
        <f aca="false">SUM(O9:O249)</f>
        <v>1163</v>
      </c>
      <c r="P250" s="245" t="n">
        <f aca="false">SUM(P9:P249)</f>
        <v>4288805.3</v>
      </c>
      <c r="Q250" s="245" t="n">
        <f aca="false">SUM(Q9:Q249)</f>
        <v>3999111.64</v>
      </c>
      <c r="R250" s="245" t="n">
        <f aca="false">SUM(R9:R249)</f>
        <v>3977973.99</v>
      </c>
      <c r="S250" s="246" t="n">
        <f aca="false">SUM(S9:S249)</f>
        <v>28869.85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1572</v>
      </c>
      <c r="H256" s="108" t="n">
        <f aca="false">SUMIF($G$9:$G$249,$F$256,I9:I249)</f>
        <v>1124</v>
      </c>
      <c r="I256" s="108" t="n">
        <f aca="false">SUMIF($G$9:$G$249,$F$256,J9:J249)</f>
        <v>1420</v>
      </c>
      <c r="J256" s="110" t="n">
        <f aca="false">SUMIF($G$9:$G$249,F256,$K$9:$K$249)</f>
        <v>2479089.41</v>
      </c>
      <c r="K256" s="110" t="n">
        <f aca="false">SUMIF($G$9:$G$249,$F$256,L9:L249)</f>
        <v>2004362.32</v>
      </c>
      <c r="L256" s="110" t="n">
        <f aca="false">SUMIF($G$9:$G$249,$F$256,M9:M249)</f>
        <v>1935117.49</v>
      </c>
      <c r="M256" s="110" t="n">
        <f aca="false">SUMIF($G$9:$G$249,$F$256,N9:N249)</f>
        <v>69244.83</v>
      </c>
      <c r="N256" s="108" t="n">
        <f aca="false">SUMIF($G$9:$G$249,$F$256,O9:O249)</f>
        <v>786</v>
      </c>
      <c r="O256" s="110" t="n">
        <f aca="false">SUMIF($G$9:$G$249,F256,$P$9:$P$249)</f>
        <v>3281660.06</v>
      </c>
      <c r="P256" s="110" t="n">
        <f aca="false">SUMIF($G$9:$G$249,$F$256,Q9:Q249)</f>
        <v>3006105.26</v>
      </c>
      <c r="Q256" s="110" t="n">
        <f aca="false">SUMIF($G$9:$G$249,$F$256,R9:R249)</f>
        <v>2977235.41</v>
      </c>
      <c r="R256" s="110" t="n">
        <f aca="false">SUMIF($G$9:$G$249,$F$256,S9:S249)</f>
        <v>28869.85</v>
      </c>
      <c r="S256" s="110" t="n">
        <f aca="false">Q256+L256</f>
        <v>4912352.9</v>
      </c>
      <c r="T256" s="111" t="n">
        <f aca="false">J256-L256+O256-Q256</f>
        <v>848396.57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483</v>
      </c>
      <c r="H257" s="108" t="n">
        <f aca="false">SUMIF($G$9:$G$249,$F$257,I9:I249)</f>
        <v>206</v>
      </c>
      <c r="I257" s="108" t="n">
        <f aca="false">SUMIF($G$9:$G$249,$F$257,J9:J249)</f>
        <v>210</v>
      </c>
      <c r="J257" s="110" t="n">
        <f aca="false">SUMIF($G$9:$G$249,F257,$K$9:$K$249)</f>
        <v>417354.84</v>
      </c>
      <c r="K257" s="110" t="n">
        <f aca="false">SUMIF($G$9:$G$249,$F$257,L9:L249)</f>
        <v>309665.93</v>
      </c>
      <c r="L257" s="110" t="n">
        <f aca="false">SUMIF($G$9:$G$249,$F$257,M9:M249)</f>
        <v>295734.65</v>
      </c>
      <c r="M257" s="110" t="n">
        <f aca="false">SUMIF($G$9:$G$249,$F$257,N9:N249)</f>
        <v>13925.78</v>
      </c>
      <c r="N257" s="108" t="n">
        <f aca="false">SUMIF($G$9:$G$249,$F$257,O9:O249)</f>
        <v>275</v>
      </c>
      <c r="O257" s="110" t="n">
        <f aca="false">SUMIF($G$9:$G$249,F257,$P$9:$P$249)</f>
        <v>789945.29</v>
      </c>
      <c r="P257" s="110" t="n">
        <f aca="false">SUMIF($G$9:$G$249,$F$257,Q9:Q249)</f>
        <v>778205.63</v>
      </c>
      <c r="Q257" s="110" t="n">
        <f aca="false">SUMIF($G$9:$G$249,$F$257,R9:R249)</f>
        <v>785937.83</v>
      </c>
      <c r="R257" s="110" t="n">
        <f aca="false">SUMIF($G$9:$G$249,$F$257,S9:S249)</f>
        <v>0</v>
      </c>
      <c r="S257" s="110" t="n">
        <f aca="false">Q257+L257</f>
        <v>1081672.48</v>
      </c>
      <c r="T257" s="111" t="n">
        <f aca="false">J257-L257+O257-Q257</f>
        <v>125627.65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266</v>
      </c>
      <c r="H258" s="108" t="n">
        <f aca="false">SUMIF($G$9:$G$249,$F$258,I9:I249)</f>
        <v>153</v>
      </c>
      <c r="I258" s="108" t="n">
        <f aca="false">SUMIF($G$9:$G$249,$F$258,J9:J249)</f>
        <v>153</v>
      </c>
      <c r="J258" s="110" t="n">
        <f aca="false">SUMIF($G$9:$G$249,F258,$K$9:$K$249)</f>
        <v>195331.28</v>
      </c>
      <c r="K258" s="110" t="n">
        <f aca="false">SUMIF($G$9:$G$249,$F$258,L9:L249)</f>
        <v>176535.09</v>
      </c>
      <c r="L258" s="110" t="n">
        <f aca="false">SUMIF($G$9:$G$249,$F$258,M9:M249)</f>
        <v>176535.09</v>
      </c>
      <c r="M258" s="110" t="n">
        <f aca="false">SUMIF($G$9:$G$249,$F$258,N9:N249)</f>
        <v>0</v>
      </c>
      <c r="N258" s="108" t="n">
        <f aca="false">SUMIF($G$9:$G$249,$F$258,O9:O249)</f>
        <v>102</v>
      </c>
      <c r="O258" s="110" t="n">
        <f aca="false">SUMIF($G$9:$G$249,F258,$P$9:$P$249)</f>
        <v>217199.95</v>
      </c>
      <c r="P258" s="110" t="n">
        <f aca="false">SUMIF($G$9:$G$249,$F$258,Q9:Q249)</f>
        <v>214800.75</v>
      </c>
      <c r="Q258" s="110" t="n">
        <f aca="false">SUMIF($G$9:$G$249,$F$258,R9:R249)</f>
        <v>214800.75</v>
      </c>
      <c r="R258" s="110" t="n">
        <f aca="false">SUMIF($G$9:$G$249,$F$258,S9:S249)</f>
        <v>0</v>
      </c>
      <c r="S258" s="110" t="n">
        <f aca="false">Q258+L258</f>
        <v>391335.84</v>
      </c>
      <c r="T258" s="111" t="n">
        <f aca="false">J258-L258+O258-Q258</f>
        <v>21195.39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2321</v>
      </c>
      <c r="H259" s="216" t="n">
        <f aca="false">H258+H257+H256</f>
        <v>1483</v>
      </c>
      <c r="I259" s="216" t="n">
        <f aca="false">I258+I257+I256</f>
        <v>1783</v>
      </c>
      <c r="J259" s="217" t="n">
        <f aca="false">J258+J257+J256</f>
        <v>3091775.53</v>
      </c>
      <c r="K259" s="217" t="n">
        <f aca="false">K258+K257+K256</f>
        <v>2490563.34</v>
      </c>
      <c r="L259" s="217" t="n">
        <f aca="false">L258+L257+L256</f>
        <v>2407387.23</v>
      </c>
      <c r="M259" s="217" t="n">
        <f aca="false">M258+M257+M256</f>
        <v>83170.61</v>
      </c>
      <c r="N259" s="216" t="n">
        <f aca="false">N258+N257+N256</f>
        <v>1163</v>
      </c>
      <c r="O259" s="217" t="n">
        <f aca="false">O258+O257+O256</f>
        <v>4288805.3</v>
      </c>
      <c r="P259" s="217" t="n">
        <f aca="false">P258+P257+P256</f>
        <v>3999111.64</v>
      </c>
      <c r="Q259" s="217" t="n">
        <f aca="false">Q258+Q257+Q256</f>
        <v>3977973.99</v>
      </c>
      <c r="R259" s="217" t="n">
        <f aca="false">R258+R257+R256</f>
        <v>28869.85</v>
      </c>
      <c r="S259" s="217" t="n">
        <f aca="false">S258+S257+S256</f>
        <v>6385361.22</v>
      </c>
      <c r="T259" s="217" t="n">
        <f aca="false">T258+T257+T256</f>
        <v>995219.61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1541</v>
      </c>
      <c r="H320" s="247" t="n">
        <v>1070</v>
      </c>
      <c r="I320" s="247" t="n">
        <v>1345</v>
      </c>
      <c r="J320" s="0" t="n">
        <v>2355013.92</v>
      </c>
      <c r="K320" s="236"/>
      <c r="N320" s="0" t="n">
        <v>782</v>
      </c>
      <c r="O320" s="0" t="n">
        <v>3269170.13</v>
      </c>
    </row>
    <row r="321" customFormat="false" ht="15" hidden="false" customHeight="false" outlineLevel="0" collapsed="false">
      <c r="G321" s="221" t="n">
        <f aca="false">G256-G320</f>
        <v>31</v>
      </c>
      <c r="H321" s="221" t="n">
        <f aca="false">H256-H320</f>
        <v>54</v>
      </c>
      <c r="I321" s="221" t="n">
        <f aca="false">I256-I320</f>
        <v>75</v>
      </c>
      <c r="J321" s="229" t="n">
        <f aca="false">J256-J320</f>
        <v>124075.49</v>
      </c>
      <c r="K321" s="236"/>
      <c r="N321" s="221" t="n">
        <f aca="false">N256-N320</f>
        <v>4</v>
      </c>
      <c r="O321" s="229" t="n">
        <f aca="false">O256-O320</f>
        <v>12489.9300000002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237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28887.49</v>
      </c>
      <c r="S9" s="190" t="n">
        <v>8136.08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27</v>
      </c>
      <c r="I11" s="160" t="n">
        <v>20</v>
      </c>
      <c r="J11" s="160" t="n">
        <v>35</v>
      </c>
      <c r="K11" s="161" t="n">
        <v>76881.26</v>
      </c>
      <c r="L11" s="161" t="n">
        <f aca="false">M11+N11</f>
        <v>71801.93</v>
      </c>
      <c r="M11" s="161" t="n">
        <v>71801.93</v>
      </c>
      <c r="N11" s="239"/>
      <c r="O11" s="151" t="n">
        <v>10</v>
      </c>
      <c r="P11" s="149" t="n">
        <v>43781.55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 t="s">
        <v>263</v>
      </c>
      <c r="G12" s="164" t="s">
        <v>26</v>
      </c>
      <c r="H12" s="175" t="n">
        <v>7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73" t="n">
        <v>33</v>
      </c>
      <c r="I13" s="148" t="n">
        <v>29</v>
      </c>
      <c r="J13" s="148" t="n">
        <v>43</v>
      </c>
      <c r="K13" s="149" t="n">
        <v>67047.98</v>
      </c>
      <c r="L13" s="149" t="n">
        <f aca="false">M13+N13</f>
        <v>53490.39</v>
      </c>
      <c r="M13" s="149" t="n">
        <v>53490.39</v>
      </c>
      <c r="N13" s="249"/>
      <c r="O13" s="228" t="n">
        <v>7</v>
      </c>
      <c r="P13" s="161" t="n">
        <v>21729.06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2" t="n">
        <v>6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293</v>
      </c>
      <c r="C17" s="19"/>
      <c r="D17" s="19"/>
      <c r="E17" s="19" t="s">
        <v>25</v>
      </c>
      <c r="F17" s="20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18"/>
      <c r="C18" s="18"/>
      <c r="D18" s="18"/>
      <c r="E18" s="18"/>
      <c r="F18" s="57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55" t="s">
        <v>229</v>
      </c>
      <c r="C19" s="56"/>
      <c r="D19" s="56"/>
      <c r="E19" s="56"/>
      <c r="F19" s="36"/>
      <c r="G19" s="158" t="s">
        <v>22</v>
      </c>
      <c r="H19" s="159" t="n">
        <v>17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55"/>
      <c r="C20" s="55"/>
      <c r="D20" s="55"/>
      <c r="E20" s="55"/>
      <c r="F20" s="26" t="s">
        <v>264</v>
      </c>
      <c r="G20" s="152" t="s">
        <v>26</v>
      </c>
      <c r="H20" s="174" t="n">
        <v>10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55" t="s">
        <v>29</v>
      </c>
      <c r="C21" s="56" t="s">
        <v>20</v>
      </c>
      <c r="D21" s="56" t="s">
        <v>30</v>
      </c>
      <c r="E21" s="56" t="s">
        <v>31</v>
      </c>
      <c r="F21" s="97"/>
      <c r="G21" s="158" t="s">
        <v>22</v>
      </c>
      <c r="H21" s="159" t="n">
        <v>21</v>
      </c>
      <c r="I21" s="160" t="n">
        <v>16</v>
      </c>
      <c r="J21" s="160" t="n">
        <v>21</v>
      </c>
      <c r="K21" s="161" t="n">
        <v>27754.71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55"/>
      <c r="C22" s="55"/>
      <c r="D22" s="55"/>
      <c r="E22" s="55"/>
      <c r="F22" s="26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55" t="s">
        <v>32</v>
      </c>
      <c r="C23" s="56" t="s">
        <v>33</v>
      </c>
      <c r="D23" s="56" t="s">
        <v>34</v>
      </c>
      <c r="E23" s="56" t="s">
        <v>35</v>
      </c>
      <c r="F23" s="36"/>
      <c r="G23" s="146" t="s">
        <v>22</v>
      </c>
      <c r="H23" s="159" t="n">
        <v>29</v>
      </c>
      <c r="I23" s="160" t="n">
        <v>24</v>
      </c>
      <c r="J23" s="160" t="n">
        <v>40</v>
      </c>
      <c r="K23" s="161" t="n">
        <v>58838.45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55"/>
      <c r="C24" s="55"/>
      <c r="D24" s="55"/>
      <c r="E24" s="55"/>
      <c r="F24" s="4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18" t="s">
        <v>162</v>
      </c>
      <c r="C25" s="19"/>
      <c r="D25" s="19"/>
      <c r="E25" s="19"/>
      <c r="F25" s="20"/>
      <c r="G25" s="146" t="s">
        <v>22</v>
      </c>
      <c r="H25" s="173" t="n">
        <v>28</v>
      </c>
      <c r="I25" s="148" t="n">
        <v>21</v>
      </c>
      <c r="J25" s="148" t="n">
        <v>21</v>
      </c>
      <c r="K25" s="148" t="n">
        <v>8879.88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18"/>
      <c r="C26" s="18"/>
      <c r="D26" s="18"/>
      <c r="E26" s="18"/>
      <c r="F26" s="57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34" t="s">
        <v>36</v>
      </c>
      <c r="C27" s="35" t="s">
        <v>20</v>
      </c>
      <c r="D27" s="35"/>
      <c r="E27" s="35" t="s">
        <v>25</v>
      </c>
      <c r="F27" s="36"/>
      <c r="G27" s="158" t="s">
        <v>22</v>
      </c>
      <c r="H27" s="159" t="n">
        <v>26</v>
      </c>
      <c r="I27" s="160" t="n">
        <v>25</v>
      </c>
      <c r="J27" s="160" t="n">
        <v>40</v>
      </c>
      <c r="K27" s="161" t="n">
        <v>75002.91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34"/>
      <c r="C28" s="34"/>
      <c r="D28" s="34"/>
      <c r="E28" s="34"/>
      <c r="F28" s="4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13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18" t="s">
        <v>37</v>
      </c>
      <c r="C29" s="19" t="s">
        <v>38</v>
      </c>
      <c r="D29" s="19" t="s">
        <v>39</v>
      </c>
      <c r="E29" s="19" t="s">
        <v>25</v>
      </c>
      <c r="F29" s="22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18"/>
      <c r="C30" s="18"/>
      <c r="D30" s="18"/>
      <c r="E30" s="18"/>
      <c r="F30" s="42" t="s">
        <v>164</v>
      </c>
      <c r="G30" s="164" t="s">
        <v>26</v>
      </c>
      <c r="H30" s="175" t="n">
        <v>6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18" t="s">
        <v>291</v>
      </c>
      <c r="C31" s="19"/>
      <c r="D31" s="19"/>
      <c r="E31" s="19"/>
      <c r="F31" s="20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18"/>
      <c r="C32" s="18"/>
      <c r="D32" s="18"/>
      <c r="E32" s="18"/>
      <c r="F32" s="57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55" t="s">
        <v>153</v>
      </c>
      <c r="C33" s="56" t="s">
        <v>20</v>
      </c>
      <c r="D33" s="56"/>
      <c r="E33" s="56" t="s">
        <v>278</v>
      </c>
      <c r="F33" s="36"/>
      <c r="G33" s="158" t="s">
        <v>22</v>
      </c>
      <c r="H33" s="169" t="n">
        <v>10</v>
      </c>
      <c r="I33" s="160" t="n">
        <v>3</v>
      </c>
      <c r="J33" s="160" t="n">
        <v>3</v>
      </c>
      <c r="K33" s="161" t="n">
        <v>4864.84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55"/>
      <c r="C34" s="55"/>
      <c r="D34" s="55"/>
      <c r="E34" s="55"/>
      <c r="F34" s="42" t="s">
        <v>231</v>
      </c>
      <c r="G34" s="164" t="s">
        <v>23</v>
      </c>
      <c r="H34" s="178" t="n">
        <v>17</v>
      </c>
      <c r="I34" s="165" t="n">
        <v>4</v>
      </c>
      <c r="J34" s="165" t="n">
        <v>4</v>
      </c>
      <c r="K34" s="166" t="n">
        <v>7693.04</v>
      </c>
      <c r="L34" s="166" t="n">
        <v>3347.8</v>
      </c>
      <c r="M34" s="166" t="n">
        <v>3347.8</v>
      </c>
      <c r="N34" s="167" t="s">
        <v>298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55" t="s">
        <v>292</v>
      </c>
      <c r="C35" s="19"/>
      <c r="D35" s="19"/>
      <c r="E35" s="19"/>
      <c r="F35" s="20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55"/>
      <c r="C36" s="55"/>
      <c r="D36" s="55"/>
      <c r="E36" s="55"/>
      <c r="F36" s="57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55" t="s">
        <v>232</v>
      </c>
      <c r="C37" s="56"/>
      <c r="D37" s="56"/>
      <c r="E37" s="56"/>
      <c r="F37" s="36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55"/>
      <c r="C38" s="55"/>
      <c r="D38" s="55"/>
      <c r="E38" s="55"/>
      <c r="F38" s="26" t="s">
        <v>265</v>
      </c>
      <c r="G38" s="152" t="s">
        <v>26</v>
      </c>
      <c r="H38" s="176" t="n">
        <v>12</v>
      </c>
      <c r="I38" s="154" t="n">
        <v>9</v>
      </c>
      <c r="J38" s="154" t="n">
        <v>9</v>
      </c>
      <c r="K38" s="155" t="n">
        <v>12694.65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55" t="s">
        <v>40</v>
      </c>
      <c r="C39" s="56" t="s">
        <v>38</v>
      </c>
      <c r="D39" s="56" t="s">
        <v>41</v>
      </c>
      <c r="E39" s="56" t="s">
        <v>42</v>
      </c>
      <c r="F39" s="36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55"/>
      <c r="C40" s="55"/>
      <c r="D40" s="55"/>
      <c r="E40" s="55"/>
      <c r="F40" s="57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55" t="s">
        <v>43</v>
      </c>
      <c r="C41" s="56" t="s">
        <v>33</v>
      </c>
      <c r="D41" s="56" t="s">
        <v>44</v>
      </c>
      <c r="E41" s="56" t="s">
        <v>45</v>
      </c>
      <c r="F41" s="36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55"/>
      <c r="C42" s="55"/>
      <c r="D42" s="55"/>
      <c r="E42" s="55"/>
      <c r="F42" s="26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34" t="s">
        <v>46</v>
      </c>
      <c r="C43" s="35" t="s">
        <v>20</v>
      </c>
      <c r="D43" s="35"/>
      <c r="E43" s="35" t="s">
        <v>25</v>
      </c>
      <c r="F43" s="36"/>
      <c r="G43" s="146" t="s">
        <v>22</v>
      </c>
      <c r="H43" s="159" t="n">
        <v>20</v>
      </c>
      <c r="I43" s="160" t="n">
        <v>16</v>
      </c>
      <c r="J43" s="160" t="n">
        <v>22</v>
      </c>
      <c r="K43" s="161" t="n">
        <v>47965.48</v>
      </c>
      <c r="L43" s="161" t="n">
        <f aca="false">M43+N43</f>
        <v>45365.83</v>
      </c>
      <c r="M43" s="161" t="n">
        <v>36053.18</v>
      </c>
      <c r="N43" s="190" t="n">
        <v>9312.65</v>
      </c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34"/>
      <c r="C44" s="34"/>
      <c r="D44" s="34"/>
      <c r="E44" s="34"/>
      <c r="F44" s="71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73" t="s">
        <v>47</v>
      </c>
      <c r="C45" s="74" t="s">
        <v>20</v>
      </c>
      <c r="D45" s="74" t="s">
        <v>166</v>
      </c>
      <c r="E45" s="75" t="s">
        <v>25</v>
      </c>
      <c r="F45" s="22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73"/>
      <c r="C46" s="73"/>
      <c r="D46" s="73"/>
      <c r="E46" s="75"/>
      <c r="F46" s="4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8</v>
      </c>
      <c r="P46" s="166" t="n">
        <v>19654.4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18" t="s">
        <v>48</v>
      </c>
      <c r="C47" s="19" t="s">
        <v>20</v>
      </c>
      <c r="D47" s="19" t="s">
        <v>168</v>
      </c>
      <c r="E47" s="19" t="s">
        <v>25</v>
      </c>
      <c r="F47" s="20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26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7</v>
      </c>
      <c r="P48" s="155" t="n">
        <v>17663.63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55" t="s">
        <v>49</v>
      </c>
      <c r="C49" s="56" t="s">
        <v>20</v>
      </c>
      <c r="D49" s="78"/>
      <c r="E49" s="56" t="s">
        <v>50</v>
      </c>
      <c r="F49" s="36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55"/>
      <c r="C50" s="55"/>
      <c r="D50" s="55"/>
      <c r="E50" s="55"/>
      <c r="F50" s="57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34" t="s">
        <v>51</v>
      </c>
      <c r="C51" s="35" t="s">
        <v>20</v>
      </c>
      <c r="D51" s="35"/>
      <c r="E51" s="35" t="s">
        <v>52</v>
      </c>
      <c r="F51" s="36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154</v>
      </c>
      <c r="C53" s="19"/>
      <c r="D53" s="19" t="s">
        <v>170</v>
      </c>
      <c r="E53" s="19"/>
      <c r="F53" s="20"/>
      <c r="G53" s="146" t="s">
        <v>22</v>
      </c>
      <c r="H53" s="173" t="n">
        <v>59</v>
      </c>
      <c r="I53" s="148" t="n">
        <v>53</v>
      </c>
      <c r="J53" s="148" t="n">
        <v>55</v>
      </c>
      <c r="K53" s="149" t="n">
        <v>75996.4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26" t="s">
        <v>171</v>
      </c>
      <c r="G54" s="152" t="s">
        <v>26</v>
      </c>
      <c r="H54" s="174" t="n">
        <v>7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55" t="s">
        <v>53</v>
      </c>
      <c r="C55" s="56" t="s">
        <v>33</v>
      </c>
      <c r="D55" s="56" t="s">
        <v>54</v>
      </c>
      <c r="E55" s="56" t="s">
        <v>42</v>
      </c>
      <c r="F55" s="36"/>
      <c r="G55" s="158" t="s">
        <v>22</v>
      </c>
      <c r="H55" s="159" t="n">
        <v>35</v>
      </c>
      <c r="I55" s="160" t="n">
        <v>23</v>
      </c>
      <c r="J55" s="160" t="n">
        <v>32</v>
      </c>
      <c r="K55" s="161" t="n">
        <v>59571.37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55"/>
      <c r="C56" s="55"/>
      <c r="D56" s="55"/>
      <c r="E56" s="55"/>
      <c r="F56" s="57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34" t="s">
        <v>55</v>
      </c>
      <c r="C57" s="35" t="s">
        <v>20</v>
      </c>
      <c r="D57" s="35"/>
      <c r="E57" s="35" t="s">
        <v>25</v>
      </c>
      <c r="F57" s="38"/>
      <c r="G57" s="146" t="s">
        <v>22</v>
      </c>
      <c r="H57" s="169" t="n">
        <v>8</v>
      </c>
      <c r="I57" s="160" t="n">
        <v>6</v>
      </c>
      <c r="J57" s="160" t="n">
        <v>7</v>
      </c>
      <c r="K57" s="161" t="n">
        <v>18775.06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34"/>
      <c r="C58" s="34"/>
      <c r="D58" s="34"/>
      <c r="E58" s="34"/>
      <c r="F58" s="4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18" t="s">
        <v>295</v>
      </c>
      <c r="C59" s="19"/>
      <c r="D59" s="19"/>
      <c r="E59" s="19" t="s">
        <v>25</v>
      </c>
      <c r="F59" s="20"/>
      <c r="G59" s="146" t="s">
        <v>22</v>
      </c>
      <c r="H59" s="173" t="n">
        <v>8</v>
      </c>
      <c r="I59" s="148" t="n">
        <v>5</v>
      </c>
      <c r="J59" s="148" t="n">
        <v>7</v>
      </c>
      <c r="K59" s="149" t="n">
        <v>19614.06</v>
      </c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18"/>
      <c r="C60" s="18"/>
      <c r="D60" s="18"/>
      <c r="E60" s="18"/>
      <c r="F60" s="57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55" t="s">
        <v>56</v>
      </c>
      <c r="C61" s="56" t="s">
        <v>33</v>
      </c>
      <c r="D61" s="56" t="s">
        <v>57</v>
      </c>
      <c r="E61" s="56" t="s">
        <v>25</v>
      </c>
      <c r="F61" s="36"/>
      <c r="G61" s="158" t="s">
        <v>22</v>
      </c>
      <c r="H61" s="159" t="n">
        <v>9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55"/>
      <c r="C62" s="55"/>
      <c r="D62" s="55"/>
      <c r="E62" s="55"/>
      <c r="F62" s="4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18" t="s">
        <v>266</v>
      </c>
      <c r="C63" s="19" t="s">
        <v>20</v>
      </c>
      <c r="D63" s="19"/>
      <c r="E63" s="19" t="s">
        <v>267</v>
      </c>
      <c r="F63" s="20"/>
      <c r="G63" s="146" t="s">
        <v>22</v>
      </c>
      <c r="H63" s="173" t="n">
        <v>8</v>
      </c>
      <c r="I63" s="148" t="n">
        <v>4</v>
      </c>
      <c r="J63" s="148" t="n">
        <v>4</v>
      </c>
      <c r="K63" s="149" t="n">
        <v>1638.66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18"/>
      <c r="C64" s="18"/>
      <c r="D64" s="18"/>
      <c r="E64" s="18"/>
      <c r="F64" s="26" t="s">
        <v>268</v>
      </c>
      <c r="G64" s="152" t="s">
        <v>26</v>
      </c>
      <c r="H64" s="174" t="n">
        <v>8</v>
      </c>
      <c r="I64" s="154" t="n">
        <v>3</v>
      </c>
      <c r="J64" s="154" t="n">
        <v>3</v>
      </c>
      <c r="K64" s="155" t="n">
        <v>5286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55" t="s">
        <v>155</v>
      </c>
      <c r="C65" s="56"/>
      <c r="D65" s="56"/>
      <c r="E65" s="56"/>
      <c r="F65" s="36"/>
      <c r="G65" s="158" t="s">
        <v>22</v>
      </c>
      <c r="H65" s="159" t="n">
        <v>16</v>
      </c>
      <c r="I65" s="160" t="n">
        <v>16</v>
      </c>
      <c r="J65" s="160" t="n">
        <v>20</v>
      </c>
      <c r="K65" s="161" t="n">
        <v>38491.65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55"/>
      <c r="C66" s="55"/>
      <c r="D66" s="55"/>
      <c r="E66" s="55"/>
      <c r="F66" s="71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18" t="s">
        <v>221</v>
      </c>
      <c r="C67" s="19" t="s">
        <v>20</v>
      </c>
      <c r="D67" s="19"/>
      <c r="E67" s="19" t="s">
        <v>278</v>
      </c>
      <c r="F67" s="20"/>
      <c r="G67" s="146" t="s">
        <v>22</v>
      </c>
      <c r="H67" s="173" t="n">
        <v>12</v>
      </c>
      <c r="I67" s="148" t="n">
        <v>9</v>
      </c>
      <c r="J67" s="148" t="n">
        <v>13</v>
      </c>
      <c r="K67" s="149" t="n">
        <v>27655.63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26" t="s">
        <v>233</v>
      </c>
      <c r="G68" s="152" t="s">
        <v>23</v>
      </c>
      <c r="H68" s="174" t="n">
        <v>10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34" t="s">
        <v>58</v>
      </c>
      <c r="C69" s="35" t="s">
        <v>20</v>
      </c>
      <c r="D69" s="35"/>
      <c r="E69" s="35" t="s">
        <v>52</v>
      </c>
      <c r="F69" s="36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71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18" t="s">
        <v>269</v>
      </c>
      <c r="C71" s="19"/>
      <c r="D71" s="49"/>
      <c r="E71" s="19"/>
      <c r="F71" s="22"/>
      <c r="G71" s="146" t="s">
        <v>22</v>
      </c>
      <c r="H71" s="147" t="n">
        <v>30</v>
      </c>
      <c r="I71" s="148" t="n">
        <v>20</v>
      </c>
      <c r="J71" s="148" t="n">
        <v>23</v>
      </c>
      <c r="K71" s="149" t="n">
        <v>49173.24</v>
      </c>
      <c r="L71" s="149" t="n">
        <f aca="false">M71+N71</f>
        <v>49173.24</v>
      </c>
      <c r="M71" s="149" t="n">
        <v>35297.27</v>
      </c>
      <c r="N71" s="190" t="n">
        <v>13875.97</v>
      </c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18"/>
      <c r="C72" s="18"/>
      <c r="D72" s="18"/>
      <c r="E72" s="18"/>
      <c r="F72" s="26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55" t="s">
        <v>222</v>
      </c>
      <c r="C73" s="56" t="s">
        <v>20</v>
      </c>
      <c r="D73" s="78"/>
      <c r="E73" s="56" t="s">
        <v>279</v>
      </c>
      <c r="F73" s="38"/>
      <c r="G73" s="158" t="s">
        <v>22</v>
      </c>
      <c r="H73" s="169" t="n">
        <v>37</v>
      </c>
      <c r="I73" s="160" t="n">
        <v>27</v>
      </c>
      <c r="J73" s="160" t="n">
        <v>35</v>
      </c>
      <c r="K73" s="161" t="n">
        <v>74580.45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55"/>
      <c r="C74" s="55"/>
      <c r="D74" s="55"/>
      <c r="E74" s="55"/>
      <c r="F74" s="42" t="s">
        <v>234</v>
      </c>
      <c r="G74" s="164" t="s">
        <v>23</v>
      </c>
      <c r="H74" s="178" t="n">
        <v>6</v>
      </c>
      <c r="I74" s="165" t="n">
        <v>2</v>
      </c>
      <c r="J74" s="165" t="n">
        <v>2</v>
      </c>
      <c r="K74" s="166" t="n">
        <v>1771.96</v>
      </c>
      <c r="L74" s="166" t="n">
        <f aca="false">M74+N74</f>
        <v>1012.55</v>
      </c>
      <c r="M74" s="166" t="n">
        <v>1012.55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249</v>
      </c>
      <c r="C75" s="19"/>
      <c r="D75" s="49"/>
      <c r="E75" s="19"/>
      <c r="F75" s="22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18"/>
      <c r="C76" s="18"/>
      <c r="D76" s="18"/>
      <c r="E76" s="18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34" t="s">
        <v>59</v>
      </c>
      <c r="C77" s="35" t="s">
        <v>20</v>
      </c>
      <c r="D77" s="95"/>
      <c r="E77" s="35" t="s">
        <v>25</v>
      </c>
      <c r="F77" s="38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71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18" t="s">
        <v>60</v>
      </c>
      <c r="C79" s="19" t="s">
        <v>20</v>
      </c>
      <c r="D79" s="19"/>
      <c r="E79" s="19" t="s">
        <v>21</v>
      </c>
      <c r="F79" s="22"/>
      <c r="G79" s="146" t="s">
        <v>22</v>
      </c>
      <c r="H79" s="169" t="n">
        <v>18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18"/>
      <c r="C80" s="18"/>
      <c r="D80" s="18"/>
      <c r="E80" s="18"/>
      <c r="F80" s="71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18" t="s">
        <v>223</v>
      </c>
      <c r="C81" s="19" t="s">
        <v>33</v>
      </c>
      <c r="D81" s="19" t="s">
        <v>280</v>
      </c>
      <c r="E81" s="19" t="s">
        <v>259</v>
      </c>
      <c r="F81" s="20"/>
      <c r="G81" s="146" t="s">
        <v>22</v>
      </c>
      <c r="H81" s="173" t="n">
        <v>16</v>
      </c>
      <c r="I81" s="148" t="n">
        <v>9</v>
      </c>
      <c r="J81" s="148" t="n">
        <v>9</v>
      </c>
      <c r="K81" s="149" t="n">
        <v>32053.43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235</v>
      </c>
      <c r="G82" s="152" t="s">
        <v>23</v>
      </c>
      <c r="H82" s="174" t="n">
        <v>26</v>
      </c>
      <c r="I82" s="154" t="n">
        <v>15</v>
      </c>
      <c r="J82" s="154" t="n">
        <v>15</v>
      </c>
      <c r="K82" s="155" t="n">
        <v>24396.22</v>
      </c>
      <c r="L82" s="155" t="n">
        <v>19787.82</v>
      </c>
      <c r="M82" s="155" t="n">
        <v>19787.82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61</v>
      </c>
      <c r="C83" s="35" t="s">
        <v>33</v>
      </c>
      <c r="D83" s="56" t="s">
        <v>62</v>
      </c>
      <c r="E83" s="35" t="s">
        <v>25</v>
      </c>
      <c r="F83" s="36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3</v>
      </c>
      <c r="P83" s="161" t="n">
        <v>45454.2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56"/>
      <c r="E84" s="35"/>
      <c r="F84" s="42" t="s">
        <v>173</v>
      </c>
      <c r="G84" s="164" t="s">
        <v>26</v>
      </c>
      <c r="H84" s="153" t="n">
        <v>5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2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73" t="s">
        <v>63</v>
      </c>
      <c r="C85" s="74" t="s">
        <v>20</v>
      </c>
      <c r="D85" s="74"/>
      <c r="E85" s="74" t="s">
        <v>25</v>
      </c>
      <c r="F85" s="20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10</v>
      </c>
      <c r="P85" s="149" t="n">
        <v>30652.75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73" t="s">
        <v>64</v>
      </c>
      <c r="C87" s="74" t="s">
        <v>20</v>
      </c>
      <c r="D87" s="74"/>
      <c r="E87" s="74" t="s">
        <v>25</v>
      </c>
      <c r="F87" s="20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73"/>
      <c r="C88" s="73"/>
      <c r="D88" s="73"/>
      <c r="E88" s="73"/>
      <c r="F88" s="71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18" t="s">
        <v>65</v>
      </c>
      <c r="C89" s="19" t="s">
        <v>33</v>
      </c>
      <c r="D89" s="19" t="s">
        <v>66</v>
      </c>
      <c r="E89" s="19" t="s">
        <v>67</v>
      </c>
      <c r="F89" s="20"/>
      <c r="G89" s="146" t="s">
        <v>22</v>
      </c>
      <c r="H89" s="159" t="n">
        <v>12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18"/>
      <c r="C90" s="18"/>
      <c r="D90" s="18"/>
      <c r="E90" s="18"/>
      <c r="F90" s="42" t="s">
        <v>236</v>
      </c>
      <c r="G90" s="164" t="s">
        <v>23</v>
      </c>
      <c r="H90" s="172" t="n">
        <v>39</v>
      </c>
      <c r="I90" s="165" t="n">
        <v>36</v>
      </c>
      <c r="J90" s="165" t="n">
        <v>36</v>
      </c>
      <c r="K90" s="166" t="n">
        <v>43819.35</v>
      </c>
      <c r="L90" s="166" t="n">
        <v>41149.9</v>
      </c>
      <c r="M90" s="166" t="n">
        <v>41149.9</v>
      </c>
      <c r="N90" s="156"/>
      <c r="O90" s="168" t="n">
        <v>36</v>
      </c>
      <c r="P90" s="166" t="n">
        <v>73763.42</v>
      </c>
      <c r="Q90" s="166" t="n">
        <v>71364.22</v>
      </c>
      <c r="R90" s="166" t="n">
        <v>71364.22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18" t="s">
        <v>175</v>
      </c>
      <c r="C91" s="19"/>
      <c r="D91" s="19"/>
      <c r="E91" s="19"/>
      <c r="F91" s="137"/>
      <c r="G91" s="146" t="s">
        <v>22</v>
      </c>
      <c r="H91" s="147" t="n">
        <v>8</v>
      </c>
      <c r="I91" s="148" t="n">
        <v>5</v>
      </c>
      <c r="J91" s="148" t="n">
        <v>6</v>
      </c>
      <c r="K91" s="149" t="n">
        <v>7056.9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18"/>
      <c r="C92" s="18"/>
      <c r="D92" s="18"/>
      <c r="E92" s="18"/>
      <c r="F92" s="89"/>
      <c r="G92" s="164" t="s">
        <v>26</v>
      </c>
      <c r="H92" s="178" t="n">
        <v>9</v>
      </c>
      <c r="I92" s="165" t="n">
        <v>5</v>
      </c>
      <c r="J92" s="165" t="n">
        <v>5</v>
      </c>
      <c r="K92" s="166" t="n">
        <v>8865.3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18" t="s">
        <v>68</v>
      </c>
      <c r="C93" s="19" t="s">
        <v>20</v>
      </c>
      <c r="D93" s="19"/>
      <c r="E93" s="19" t="s">
        <v>69</v>
      </c>
      <c r="F93" s="22"/>
      <c r="G93" s="146" t="s">
        <v>22</v>
      </c>
      <c r="H93" s="147" t="n">
        <v>14</v>
      </c>
      <c r="I93" s="148" t="n">
        <v>7</v>
      </c>
      <c r="J93" s="148" t="n">
        <v>8</v>
      </c>
      <c r="K93" s="149" t="n">
        <v>17007.72</v>
      </c>
      <c r="L93" s="149" t="n">
        <f aca="false">M93+N93</f>
        <v>14215.51</v>
      </c>
      <c r="M93" s="149" t="n">
        <v>14215.51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26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55" t="s">
        <v>70</v>
      </c>
      <c r="C95" s="56" t="s">
        <v>20</v>
      </c>
      <c r="D95" s="56" t="s">
        <v>71</v>
      </c>
      <c r="E95" s="56" t="s">
        <v>25</v>
      </c>
      <c r="F95" s="36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26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34" t="s">
        <v>72</v>
      </c>
      <c r="C97" s="35" t="s">
        <v>20</v>
      </c>
      <c r="D97" s="35"/>
      <c r="E97" s="35" t="s">
        <v>52</v>
      </c>
      <c r="F97" s="36"/>
      <c r="G97" s="146" t="s">
        <v>22</v>
      </c>
      <c r="H97" s="159" t="n">
        <v>12</v>
      </c>
      <c r="I97" s="160" t="n">
        <v>9</v>
      </c>
      <c r="J97" s="160" t="n">
        <v>13</v>
      </c>
      <c r="K97" s="161" t="n">
        <v>22159.57</v>
      </c>
      <c r="L97" s="161" t="n">
        <f aca="false">M97+N97</f>
        <v>11231.55</v>
      </c>
      <c r="M97" s="161" t="n">
        <v>11231.55</v>
      </c>
      <c r="N97" s="190"/>
      <c r="O97" s="163" t="n">
        <v>9</v>
      </c>
      <c r="P97" s="161" t="n">
        <v>62858.94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18" t="s">
        <v>73</v>
      </c>
      <c r="C99" s="19" t="s">
        <v>20</v>
      </c>
      <c r="D99" s="19"/>
      <c r="E99" s="19" t="s">
        <v>52</v>
      </c>
      <c r="F99" s="20"/>
      <c r="G99" s="146" t="s">
        <v>22</v>
      </c>
      <c r="H99" s="159" t="n">
        <v>7</v>
      </c>
      <c r="I99" s="148" t="n">
        <v>5</v>
      </c>
      <c r="J99" s="148" t="n">
        <v>6</v>
      </c>
      <c r="K99" s="149" t="n">
        <v>12192.88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26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34" t="s">
        <v>74</v>
      </c>
      <c r="C101" s="35" t="s">
        <v>33</v>
      </c>
      <c r="D101" s="35" t="s">
        <v>75</v>
      </c>
      <c r="E101" s="35" t="s">
        <v>25</v>
      </c>
      <c r="F101" s="36"/>
      <c r="G101" s="146" t="s">
        <v>22</v>
      </c>
      <c r="H101" s="159" t="n">
        <v>33</v>
      </c>
      <c r="I101" s="160" t="n">
        <v>28</v>
      </c>
      <c r="J101" s="160" t="n">
        <v>32</v>
      </c>
      <c r="K101" s="161" t="n">
        <v>63185.25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73" t="s">
        <v>76</v>
      </c>
      <c r="C103" s="74" t="s">
        <v>20</v>
      </c>
      <c r="D103" s="74" t="s">
        <v>180</v>
      </c>
      <c r="E103" s="74" t="s">
        <v>25</v>
      </c>
      <c r="F103" s="20"/>
      <c r="G103" s="146" t="s">
        <v>22</v>
      </c>
      <c r="H103" s="159" t="n">
        <v>23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12723.15</v>
      </c>
      <c r="M103" s="149" t="n">
        <v>12723.15</v>
      </c>
      <c r="N103" s="190"/>
      <c r="O103" s="151" t="n">
        <v>3</v>
      </c>
      <c r="P103" s="149" t="n">
        <v>18333.88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73"/>
      <c r="C104" s="73"/>
      <c r="D104" s="73"/>
      <c r="E104" s="73"/>
      <c r="F104" s="4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18" t="s">
        <v>77</v>
      </c>
      <c r="C105" s="19" t="s">
        <v>38</v>
      </c>
      <c r="D105" s="19" t="s">
        <v>78</v>
      </c>
      <c r="E105" s="19" t="s">
        <v>25</v>
      </c>
      <c r="F105" s="22"/>
      <c r="G105" s="146" t="s">
        <v>22</v>
      </c>
      <c r="H105" s="169" t="n">
        <v>12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9</v>
      </c>
      <c r="P105" s="149" t="n">
        <v>50436.95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18"/>
      <c r="C106" s="18"/>
      <c r="D106" s="18"/>
      <c r="E106" s="18"/>
      <c r="F106" s="80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18"/>
      <c r="C107" s="18"/>
      <c r="D107" s="18"/>
      <c r="E107" s="18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6038.2</v>
      </c>
      <c r="M107" s="155" t="n">
        <v>6038.2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34" t="s">
        <v>79</v>
      </c>
      <c r="C108" s="35" t="s">
        <v>20</v>
      </c>
      <c r="D108" s="35"/>
      <c r="E108" s="35" t="s">
        <v>52</v>
      </c>
      <c r="F108" s="38"/>
      <c r="G108" s="146" t="s">
        <v>22</v>
      </c>
      <c r="H108" s="159" t="n">
        <v>10</v>
      </c>
      <c r="I108" s="160" t="n">
        <v>6</v>
      </c>
      <c r="J108" s="160" t="n">
        <v>7</v>
      </c>
      <c r="K108" s="161" t="n">
        <v>13195.1</v>
      </c>
      <c r="L108" s="161" t="n">
        <f aca="false">M108+N108</f>
        <v>11123.42</v>
      </c>
      <c r="M108" s="161" t="n">
        <v>11123.42</v>
      </c>
      <c r="N108" s="190"/>
      <c r="O108" s="163" t="n">
        <v>11</v>
      </c>
      <c r="P108" s="161" t="n">
        <v>40851.54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34"/>
      <c r="C109" s="34"/>
      <c r="D109" s="34"/>
      <c r="E109" s="34"/>
      <c r="F109" s="4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73" t="s">
        <v>80</v>
      </c>
      <c r="C110" s="74" t="s">
        <v>20</v>
      </c>
      <c r="D110" s="74"/>
      <c r="E110" s="74" t="s">
        <v>81</v>
      </c>
      <c r="F110" s="20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73"/>
      <c r="C111" s="73"/>
      <c r="D111" s="73"/>
      <c r="E111" s="73"/>
      <c r="F111" s="4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18" t="s">
        <v>82</v>
      </c>
      <c r="C112" s="19" t="s">
        <v>20</v>
      </c>
      <c r="D112" s="19" t="s">
        <v>184</v>
      </c>
      <c r="E112" s="19" t="s">
        <v>25</v>
      </c>
      <c r="F112" s="22"/>
      <c r="G112" s="146" t="s">
        <v>22</v>
      </c>
      <c r="H112" s="159" t="n">
        <v>33</v>
      </c>
      <c r="I112" s="148" t="n">
        <v>29</v>
      </c>
      <c r="J112" s="148" t="n">
        <v>39</v>
      </c>
      <c r="K112" s="149" t="n">
        <v>54849.81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42" t="s">
        <v>185</v>
      </c>
      <c r="G113" s="164" t="s">
        <v>26</v>
      </c>
      <c r="H113" s="175" t="n">
        <v>6</v>
      </c>
      <c r="I113" s="165" t="n">
        <v>5</v>
      </c>
      <c r="J113" s="165" t="n">
        <v>5</v>
      </c>
      <c r="K113" s="166" t="n">
        <v>13607.25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18" t="s">
        <v>254</v>
      </c>
      <c r="C114" s="19" t="s">
        <v>20</v>
      </c>
      <c r="D114" s="19"/>
      <c r="E114" s="19" t="s">
        <v>25</v>
      </c>
      <c r="F114" s="20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18"/>
      <c r="C115" s="18"/>
      <c r="D115" s="18"/>
      <c r="E115" s="18"/>
      <c r="F115" s="26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55" t="s">
        <v>83</v>
      </c>
      <c r="C116" s="56" t="s">
        <v>20</v>
      </c>
      <c r="D116" s="56"/>
      <c r="E116" s="56" t="s">
        <v>25</v>
      </c>
      <c r="F116" s="36"/>
      <c r="G116" s="158" t="s">
        <v>22</v>
      </c>
      <c r="H116" s="159" t="n">
        <v>14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26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34" t="s">
        <v>84</v>
      </c>
      <c r="C118" s="35" t="s">
        <v>20</v>
      </c>
      <c r="D118" s="35"/>
      <c r="E118" s="35" t="s">
        <v>52</v>
      </c>
      <c r="F118" s="36"/>
      <c r="G118" s="146" t="s">
        <v>22</v>
      </c>
      <c r="H118" s="159" t="n">
        <v>34</v>
      </c>
      <c r="I118" s="160" t="n">
        <v>24</v>
      </c>
      <c r="J118" s="160" t="n">
        <v>34</v>
      </c>
      <c r="K118" s="161" t="n">
        <v>61737.14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34"/>
      <c r="C119" s="34"/>
      <c r="D119" s="34"/>
      <c r="E119" s="34"/>
      <c r="F119" s="71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18" t="s">
        <v>85</v>
      </c>
      <c r="C120" s="19" t="s">
        <v>20</v>
      </c>
      <c r="D120" s="19"/>
      <c r="E120" s="19" t="s">
        <v>25</v>
      </c>
      <c r="F120" s="87"/>
      <c r="G120" s="146" t="s">
        <v>22</v>
      </c>
      <c r="H120" s="169" t="n">
        <v>10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73" t="s">
        <v>86</v>
      </c>
      <c r="C122" s="74" t="s">
        <v>33</v>
      </c>
      <c r="D122" s="74" t="s">
        <v>87</v>
      </c>
      <c r="E122" s="74" t="s">
        <v>88</v>
      </c>
      <c r="F122" s="20"/>
      <c r="G122" s="146" t="s">
        <v>22</v>
      </c>
      <c r="H122" s="169" t="n">
        <v>39</v>
      </c>
      <c r="I122" s="148" t="n">
        <v>26</v>
      </c>
      <c r="J122" s="148" t="n">
        <v>32</v>
      </c>
      <c r="K122" s="149" t="n">
        <v>39573.83</v>
      </c>
      <c r="L122" s="149" t="n">
        <f aca="false">M122+N122</f>
        <v>34241.19</v>
      </c>
      <c r="M122" s="149" t="n">
        <v>19998.93</v>
      </c>
      <c r="N122" s="190" t="n">
        <v>14242.26</v>
      </c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17228.94</v>
      </c>
      <c r="S122" s="190" t="n">
        <v>2310.79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73"/>
      <c r="C123" s="73"/>
      <c r="D123" s="73"/>
      <c r="E123" s="73"/>
      <c r="F123" s="42" t="s">
        <v>238</v>
      </c>
      <c r="G123" s="164" t="s">
        <v>23</v>
      </c>
      <c r="H123" s="171" t="n">
        <v>28</v>
      </c>
      <c r="I123" s="165" t="n">
        <v>18</v>
      </c>
      <c r="J123" s="165" t="n">
        <v>18</v>
      </c>
      <c r="K123" s="166" t="n">
        <v>18712.39</v>
      </c>
      <c r="L123" s="166" t="n">
        <v>17623.79</v>
      </c>
      <c r="M123" s="166" t="n">
        <v>17623.79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18" t="s">
        <v>89</v>
      </c>
      <c r="C124" s="19" t="s">
        <v>20</v>
      </c>
      <c r="D124" s="19" t="s">
        <v>90</v>
      </c>
      <c r="E124" s="19" t="s">
        <v>42</v>
      </c>
      <c r="F124" s="20"/>
      <c r="G124" s="146" t="s">
        <v>22</v>
      </c>
      <c r="H124" s="159" t="n">
        <v>29</v>
      </c>
      <c r="I124" s="148" t="n">
        <v>20</v>
      </c>
      <c r="J124" s="148" t="n">
        <v>27</v>
      </c>
      <c r="K124" s="149" t="n">
        <v>123329.62</v>
      </c>
      <c r="L124" s="149" t="n">
        <f aca="false">M124+N124</f>
        <v>78634.92</v>
      </c>
      <c r="M124" s="149" t="n">
        <v>78634.92</v>
      </c>
      <c r="N124" s="190"/>
      <c r="O124" s="151" t="n">
        <v>22</v>
      </c>
      <c r="P124" s="149" t="n">
        <v>74402.24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/>
      <c r="C125" s="18"/>
      <c r="D125" s="18"/>
      <c r="E125" s="18"/>
      <c r="F125" s="26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34" t="s">
        <v>91</v>
      </c>
      <c r="C126" s="35" t="s">
        <v>33</v>
      </c>
      <c r="D126" s="35" t="s">
        <v>92</v>
      </c>
      <c r="E126" s="35" t="s">
        <v>25</v>
      </c>
      <c r="F126" s="38" t="s">
        <v>239</v>
      </c>
      <c r="G126" s="146" t="s">
        <v>22</v>
      </c>
      <c r="H126" s="159" t="n">
        <v>39</v>
      </c>
      <c r="I126" s="160" t="n">
        <v>16</v>
      </c>
      <c r="J126" s="160" t="n">
        <v>17</v>
      </c>
      <c r="K126" s="161" t="n">
        <v>64870.63</v>
      </c>
      <c r="L126" s="161" t="n">
        <f aca="false">M126+N126</f>
        <v>33685.02</v>
      </c>
      <c r="M126" s="161" t="n">
        <v>33685.02</v>
      </c>
      <c r="N126" s="190"/>
      <c r="O126" s="163" t="n">
        <v>21</v>
      </c>
      <c r="P126" s="161" t="n">
        <v>155726.93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/>
      <c r="C127" s="34"/>
      <c r="D127" s="34"/>
      <c r="E127" s="34"/>
      <c r="F127" s="89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18" t="s">
        <v>93</v>
      </c>
      <c r="C129" s="19" t="s">
        <v>20</v>
      </c>
      <c r="D129" s="49"/>
      <c r="E129" s="19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94</v>
      </c>
      <c r="C131" s="56" t="s">
        <v>20</v>
      </c>
      <c r="D131" s="56"/>
      <c r="E131" s="56" t="s">
        <v>52</v>
      </c>
      <c r="F131" s="36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4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95</v>
      </c>
      <c r="C133" s="35" t="s">
        <v>33</v>
      </c>
      <c r="D133" s="35" t="s">
        <v>96</v>
      </c>
      <c r="E133" s="35" t="s">
        <v>88</v>
      </c>
      <c r="F133" s="22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97</v>
      </c>
      <c r="C135" s="74" t="s">
        <v>20</v>
      </c>
      <c r="D135" s="74"/>
      <c r="E135" s="74" t="s">
        <v>98</v>
      </c>
      <c r="F135" s="20"/>
      <c r="G135" s="146" t="s">
        <v>22</v>
      </c>
      <c r="H135" s="159" t="n">
        <v>9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241</v>
      </c>
      <c r="G136" s="164" t="s">
        <v>23</v>
      </c>
      <c r="H136" s="172" t="n">
        <v>22</v>
      </c>
      <c r="I136" s="165" t="n">
        <v>15</v>
      </c>
      <c r="J136" s="165" t="n">
        <v>15</v>
      </c>
      <c r="K136" s="166" t="n">
        <v>15227.05</v>
      </c>
      <c r="L136" s="166" t="n">
        <v>13017.85</v>
      </c>
      <c r="M136" s="166" t="n">
        <v>13017.85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156</v>
      </c>
      <c r="C137" s="19"/>
      <c r="D137" s="19"/>
      <c r="E137" s="19"/>
      <c r="F137" s="20"/>
      <c r="G137" s="146" t="s">
        <v>22</v>
      </c>
      <c r="H137" s="173" t="n">
        <v>36</v>
      </c>
      <c r="I137" s="148" t="n">
        <v>29</v>
      </c>
      <c r="J137" s="148" t="n">
        <v>37</v>
      </c>
      <c r="K137" s="149" t="n">
        <v>96989.14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89" t="s">
        <v>272</v>
      </c>
      <c r="G138" s="187" t="s">
        <v>26</v>
      </c>
      <c r="H138" s="172" t="n">
        <v>15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71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18" t="s">
        <v>190</v>
      </c>
      <c r="C140" s="19"/>
      <c r="D140" s="19"/>
      <c r="E140" s="19"/>
      <c r="F140" s="20"/>
      <c r="G140" s="146" t="s">
        <v>22</v>
      </c>
      <c r="H140" s="173" t="n">
        <v>13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18"/>
      <c r="C141" s="18"/>
      <c r="D141" s="18"/>
      <c r="E141" s="18"/>
      <c r="F141" s="26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55" t="s">
        <v>99</v>
      </c>
      <c r="C142" s="56" t="s">
        <v>33</v>
      </c>
      <c r="D142" s="56" t="s">
        <v>100</v>
      </c>
      <c r="E142" s="56" t="s">
        <v>101</v>
      </c>
      <c r="F142" s="36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7606.2</v>
      </c>
      <c r="N142" s="190" t="n">
        <v>4317.15</v>
      </c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48668.87</v>
      </c>
      <c r="S142" s="190" t="n">
        <v>8075.9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55"/>
      <c r="C143" s="55"/>
      <c r="D143" s="55"/>
      <c r="E143" s="55"/>
      <c r="F143" s="80" t="s">
        <v>191</v>
      </c>
      <c r="G143" s="180" t="s">
        <v>26</v>
      </c>
      <c r="H143" s="169" t="n">
        <v>15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4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55"/>
      <c r="C144" s="55"/>
      <c r="D144" s="55"/>
      <c r="E144" s="55"/>
      <c r="F144" s="4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224</v>
      </c>
      <c r="C145" s="19"/>
      <c r="D145" s="19"/>
      <c r="E145" s="19"/>
      <c r="F145" s="20"/>
      <c r="G145" s="146" t="s">
        <v>22</v>
      </c>
      <c r="H145" s="147" t="n">
        <v>8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26" t="s">
        <v>273</v>
      </c>
      <c r="G146" s="152" t="s">
        <v>26</v>
      </c>
      <c r="H146" s="176" t="n">
        <v>8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34" t="s">
        <v>102</v>
      </c>
      <c r="C147" s="35" t="s">
        <v>20</v>
      </c>
      <c r="D147" s="35"/>
      <c r="E147" s="35" t="s">
        <v>25</v>
      </c>
      <c r="F147" s="36"/>
      <c r="G147" s="158" t="s">
        <v>22</v>
      </c>
      <c r="H147" s="169" t="n">
        <v>23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34"/>
      <c r="C148" s="34"/>
      <c r="D148" s="34"/>
      <c r="E148" s="34"/>
      <c r="F148" s="42" t="s">
        <v>192</v>
      </c>
      <c r="G148" s="164" t="s">
        <v>26</v>
      </c>
      <c r="H148" s="153" t="n">
        <v>7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103</v>
      </c>
      <c r="C149" s="19" t="s">
        <v>20</v>
      </c>
      <c r="D149" s="19"/>
      <c r="E149" s="19" t="s">
        <v>52</v>
      </c>
      <c r="F149" s="20"/>
      <c r="G149" s="146" t="s">
        <v>22</v>
      </c>
      <c r="H149" s="169" t="n">
        <v>8</v>
      </c>
      <c r="I149" s="148" t="n">
        <v>5</v>
      </c>
      <c r="J149" s="148" t="n">
        <v>6</v>
      </c>
      <c r="K149" s="149" t="n">
        <v>11405.63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18"/>
      <c r="C150" s="18"/>
      <c r="D150" s="18"/>
      <c r="E150" s="18"/>
      <c r="F150" s="4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18" t="s">
        <v>294</v>
      </c>
      <c r="C151" s="19"/>
      <c r="D151" s="19"/>
      <c r="E151" s="19"/>
      <c r="F151" s="22"/>
      <c r="G151" s="146" t="s">
        <v>22</v>
      </c>
      <c r="H151" s="147" t="n">
        <v>3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18"/>
      <c r="C152" s="18"/>
      <c r="D152" s="18"/>
      <c r="E152" s="18"/>
      <c r="F152" s="26"/>
      <c r="G152" s="152" t="s">
        <v>26</v>
      </c>
      <c r="H152" s="176" t="n">
        <v>4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55" t="s">
        <v>104</v>
      </c>
      <c r="C153" s="56" t="s">
        <v>20</v>
      </c>
      <c r="D153" s="56"/>
      <c r="E153" s="56" t="s">
        <v>25</v>
      </c>
      <c r="F153" s="38"/>
      <c r="G153" s="158" t="s">
        <v>22</v>
      </c>
      <c r="H153" s="169" t="n">
        <v>1</v>
      </c>
      <c r="I153" s="160" t="n">
        <v>1</v>
      </c>
      <c r="J153" s="160" t="n">
        <v>1</v>
      </c>
      <c r="K153" s="161" t="n">
        <v>21512.83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55"/>
      <c r="C154" s="55"/>
      <c r="D154" s="55"/>
      <c r="E154" s="55"/>
      <c r="F154" s="4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 t="s">
        <v>304</v>
      </c>
      <c r="C155" s="19"/>
      <c r="D155" s="19"/>
      <c r="E155" s="19" t="s">
        <v>25</v>
      </c>
      <c r="F155" s="20"/>
      <c r="G155" s="21" t="s">
        <v>22</v>
      </c>
      <c r="H155" s="21" t="n">
        <v>3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18"/>
      <c r="C156" s="18"/>
      <c r="D156" s="18"/>
      <c r="E156" s="18"/>
      <c r="F156" s="57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34" t="s">
        <v>105</v>
      </c>
      <c r="C157" s="35" t="s">
        <v>33</v>
      </c>
      <c r="D157" s="35" t="s">
        <v>106</v>
      </c>
      <c r="E157" s="35" t="s">
        <v>107</v>
      </c>
      <c r="F157" s="36"/>
      <c r="G157" s="158" t="s">
        <v>22</v>
      </c>
      <c r="H157" s="169" t="n">
        <v>8</v>
      </c>
      <c r="I157" s="160" t="n">
        <v>4</v>
      </c>
      <c r="J157" s="160" t="n">
        <v>5</v>
      </c>
      <c r="K157" s="161" t="n">
        <v>7292.31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34"/>
      <c r="C158" s="34"/>
      <c r="D158" s="34"/>
      <c r="E158" s="34"/>
      <c r="F158" s="4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1104.6</v>
      </c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73" t="s">
        <v>108</v>
      </c>
      <c r="C159" s="74" t="s">
        <v>33</v>
      </c>
      <c r="D159" s="74" t="s">
        <v>109</v>
      </c>
      <c r="E159" s="74" t="s">
        <v>25</v>
      </c>
      <c r="F159" s="20"/>
      <c r="G159" s="146" t="s">
        <v>22</v>
      </c>
      <c r="H159" s="159" t="n">
        <v>14</v>
      </c>
      <c r="I159" s="148" t="n">
        <v>13</v>
      </c>
      <c r="J159" s="148" t="n">
        <v>15</v>
      </c>
      <c r="K159" s="149" t="n">
        <v>36529.17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73"/>
      <c r="C160" s="73"/>
      <c r="D160" s="73"/>
      <c r="E160" s="73"/>
      <c r="F160" s="4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18" t="s">
        <v>110</v>
      </c>
      <c r="C161" s="19" t="s">
        <v>33</v>
      </c>
      <c r="D161" s="19" t="s">
        <v>111</v>
      </c>
      <c r="E161" s="19" t="s">
        <v>25</v>
      </c>
      <c r="F161" s="20"/>
      <c r="G161" s="146" t="s">
        <v>22</v>
      </c>
      <c r="H161" s="159" t="n">
        <v>31</v>
      </c>
      <c r="I161" s="148" t="n">
        <v>27</v>
      </c>
      <c r="J161" s="193" t="n">
        <v>33</v>
      </c>
      <c r="K161" s="149" t="n">
        <v>41438.77</v>
      </c>
      <c r="L161" s="149" t="n">
        <f aca="false">M161+N161</f>
        <v>37553.38</v>
      </c>
      <c r="M161" s="149" t="n">
        <v>25113.93</v>
      </c>
      <c r="N161" s="190" t="n">
        <v>12439.45</v>
      </c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18"/>
      <c r="C162" s="18"/>
      <c r="D162" s="18"/>
      <c r="E162" s="18"/>
      <c r="F162" s="4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40" t="s">
        <v>282</v>
      </c>
      <c r="C163" s="19" t="s">
        <v>33</v>
      </c>
      <c r="D163" s="19" t="s">
        <v>283</v>
      </c>
      <c r="E163" s="19" t="s">
        <v>284</v>
      </c>
      <c r="F163" s="20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40"/>
      <c r="C164" s="19"/>
      <c r="D164" s="19"/>
      <c r="E164" s="19"/>
      <c r="F164" s="26" t="s">
        <v>285</v>
      </c>
      <c r="G164" s="152" t="s">
        <v>23</v>
      </c>
      <c r="H164" s="174" t="n">
        <v>7</v>
      </c>
      <c r="I164" s="154" t="n">
        <v>2</v>
      </c>
      <c r="J164" s="154" t="n">
        <v>2</v>
      </c>
      <c r="K164" s="242" t="n">
        <v>1472.8</v>
      </c>
      <c r="L164" s="242" t="n">
        <f aca="false">M164+N164</f>
        <v>1472.8</v>
      </c>
      <c r="M164" s="242" t="n">
        <v>1472.8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34" t="s">
        <v>112</v>
      </c>
      <c r="C165" s="35" t="s">
        <v>20</v>
      </c>
      <c r="D165" s="35" t="s">
        <v>197</v>
      </c>
      <c r="E165" s="35" t="s">
        <v>25</v>
      </c>
      <c r="F165" s="36"/>
      <c r="G165" s="158" t="s">
        <v>22</v>
      </c>
      <c r="H165" s="159" t="n">
        <v>26</v>
      </c>
      <c r="I165" s="160" t="n">
        <v>25</v>
      </c>
      <c r="J165" s="160" t="n">
        <v>36</v>
      </c>
      <c r="K165" s="140" t="n">
        <v>90768.99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26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18" t="s">
        <v>113</v>
      </c>
      <c r="C167" s="19" t="s">
        <v>20</v>
      </c>
      <c r="D167" s="19"/>
      <c r="E167" s="19" t="s">
        <v>31</v>
      </c>
      <c r="F167" s="36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32741.22</v>
      </c>
      <c r="M167" s="149" t="n">
        <v>32741.22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57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34" t="s">
        <v>114</v>
      </c>
      <c r="C169" s="35" t="s">
        <v>20</v>
      </c>
      <c r="D169" s="95"/>
      <c r="E169" s="35" t="s">
        <v>25</v>
      </c>
      <c r="F169" s="71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4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 t="s">
        <v>243</v>
      </c>
      <c r="C171" s="219"/>
      <c r="D171" s="19"/>
      <c r="E171" s="19"/>
      <c r="F171" s="20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4062.29</v>
      </c>
      <c r="M171" s="149" t="n">
        <v>4062.29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55" t="s">
        <v>200</v>
      </c>
      <c r="C173" s="220"/>
      <c r="D173" s="56"/>
      <c r="E173" s="56"/>
      <c r="F173" s="36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57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55" t="s">
        <v>115</v>
      </c>
      <c r="C175" s="56" t="s">
        <v>20</v>
      </c>
      <c r="D175" s="56"/>
      <c r="E175" s="56" t="s">
        <v>116</v>
      </c>
      <c r="F175" s="36"/>
      <c r="G175" s="158" t="s">
        <v>22</v>
      </c>
      <c r="H175" s="159" t="n">
        <v>22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55"/>
      <c r="C176" s="55"/>
      <c r="D176" s="55"/>
      <c r="E176" s="55"/>
      <c r="F176" s="42" t="s">
        <v>201</v>
      </c>
      <c r="G176" s="164" t="s">
        <v>26</v>
      </c>
      <c r="H176" s="172" t="n">
        <v>12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18" t="s">
        <v>157</v>
      </c>
      <c r="C177" s="19"/>
      <c r="D177" s="19"/>
      <c r="E177" s="127"/>
      <c r="F177" s="22"/>
      <c r="G177" s="146" t="s">
        <v>22</v>
      </c>
      <c r="H177" s="147" t="n">
        <v>13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18"/>
      <c r="C178" s="18"/>
      <c r="D178" s="18"/>
      <c r="E178" s="127"/>
      <c r="F178" s="26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34" t="s">
        <v>117</v>
      </c>
      <c r="C179" s="35" t="s">
        <v>33</v>
      </c>
      <c r="D179" s="35" t="s">
        <v>118</v>
      </c>
      <c r="E179" s="74" t="s">
        <v>25</v>
      </c>
      <c r="F179" s="89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34"/>
      <c r="C180" s="34"/>
      <c r="D180" s="34"/>
      <c r="E180" s="34"/>
      <c r="F180" s="4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34"/>
      <c r="C181" s="34"/>
      <c r="D181" s="34"/>
      <c r="E181" s="34"/>
      <c r="F181" s="4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18" t="s">
        <v>119</v>
      </c>
      <c r="C182" s="19" t="s">
        <v>20</v>
      </c>
      <c r="D182" s="19"/>
      <c r="E182" s="19" t="s">
        <v>25</v>
      </c>
      <c r="F182" s="20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18"/>
      <c r="C183" s="18"/>
      <c r="D183" s="18"/>
      <c r="E183" s="18"/>
      <c r="F183" s="42" t="s">
        <v>203</v>
      </c>
      <c r="G183" s="164" t="s">
        <v>26</v>
      </c>
      <c r="H183" s="175" t="n">
        <v>6</v>
      </c>
      <c r="I183" s="165" t="n">
        <v>2</v>
      </c>
      <c r="J183" s="165" t="n">
        <v>2</v>
      </c>
      <c r="K183" s="166" t="n">
        <v>1812.59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4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18" t="s">
        <v>225</v>
      </c>
      <c r="C184" s="19"/>
      <c r="D184" s="19"/>
      <c r="E184" s="19"/>
      <c r="F184" s="20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18"/>
      <c r="C185" s="18"/>
      <c r="D185" s="18"/>
      <c r="E185" s="18"/>
      <c r="F185" s="26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17230</v>
      </c>
      <c r="M185" s="155" t="n">
        <v>17230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55" t="s">
        <v>120</v>
      </c>
      <c r="C186" s="56" t="s">
        <v>20</v>
      </c>
      <c r="D186" s="56"/>
      <c r="E186" s="56" t="s">
        <v>25</v>
      </c>
      <c r="F186" s="36"/>
      <c r="G186" s="158" t="s">
        <v>22</v>
      </c>
      <c r="H186" s="169" t="n">
        <v>1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55"/>
      <c r="C187" s="55"/>
      <c r="D187" s="55"/>
      <c r="E187" s="55"/>
      <c r="F187" s="71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18" t="s">
        <v>158</v>
      </c>
      <c r="C188" s="74"/>
      <c r="D188" s="56" t="s">
        <v>204</v>
      </c>
      <c r="E188" s="74"/>
      <c r="F188" s="53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18"/>
      <c r="C189" s="56"/>
      <c r="D189" s="56"/>
      <c r="E189" s="56"/>
      <c r="F189" s="138" t="s">
        <v>205</v>
      </c>
      <c r="G189" s="152" t="s">
        <v>26</v>
      </c>
      <c r="H189" s="153" t="n">
        <v>7</v>
      </c>
      <c r="I189" s="200" t="n">
        <v>4</v>
      </c>
      <c r="J189" s="200" t="n">
        <v>4</v>
      </c>
      <c r="K189" s="201" t="n">
        <v>6580.06</v>
      </c>
      <c r="L189" s="201" t="n">
        <f aca="false">M189+N189</f>
        <v>1104.6</v>
      </c>
      <c r="M189" s="201" t="n">
        <f aca="false">1104.6</f>
        <v>1104.6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34" t="s">
        <v>152</v>
      </c>
      <c r="C190" s="35" t="s">
        <v>20</v>
      </c>
      <c r="D190" s="35"/>
      <c r="E190" s="35" t="s">
        <v>25</v>
      </c>
      <c r="F190" s="36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18" t="s">
        <v>122</v>
      </c>
      <c r="C192" s="19" t="s">
        <v>20</v>
      </c>
      <c r="D192" s="19"/>
      <c r="E192" s="19" t="s">
        <v>116</v>
      </c>
      <c r="F192" s="20"/>
      <c r="G192" s="146" t="s">
        <v>22</v>
      </c>
      <c r="H192" s="159" t="n">
        <v>44</v>
      </c>
      <c r="I192" s="148" t="n">
        <v>43</v>
      </c>
      <c r="J192" s="148" t="n">
        <v>60</v>
      </c>
      <c r="K192" s="149" t="n">
        <v>93504.71</v>
      </c>
      <c r="L192" s="149" t="n">
        <f aca="false">M192+N192</f>
        <v>89688.59</v>
      </c>
      <c r="M192" s="149" t="n">
        <v>76981</v>
      </c>
      <c r="N192" s="190" t="n">
        <v>12707.59</v>
      </c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125821.41</v>
      </c>
      <c r="S192" s="190" t="n">
        <v>10347.08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18"/>
      <c r="C193" s="18"/>
      <c r="D193" s="18"/>
      <c r="E193" s="18"/>
      <c r="F193" s="57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34" t="s">
        <v>123</v>
      </c>
      <c r="C194" s="35" t="s">
        <v>20</v>
      </c>
      <c r="D194" s="35"/>
      <c r="E194" s="35" t="s">
        <v>25</v>
      </c>
      <c r="F194" s="36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207</v>
      </c>
      <c r="G195" s="164" t="s">
        <v>26</v>
      </c>
      <c r="H195" s="153" t="n">
        <v>10</v>
      </c>
      <c r="I195" s="165" t="n">
        <v>3</v>
      </c>
      <c r="J195" s="165" t="n">
        <v>3</v>
      </c>
      <c r="K195" s="166" t="n">
        <v>3313.8</v>
      </c>
      <c r="L195" s="161" t="n">
        <f aca="false">M195+N195</f>
        <v>2761.5</v>
      </c>
      <c r="M195" s="166" t="n">
        <f aca="false">2761.5</f>
        <v>2761.5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18" t="s">
        <v>124</v>
      </c>
      <c r="C196" s="19" t="s">
        <v>20</v>
      </c>
      <c r="D196" s="19"/>
      <c r="E196" s="19" t="s">
        <v>88</v>
      </c>
      <c r="F196" s="20"/>
      <c r="G196" s="146" t="s">
        <v>22</v>
      </c>
      <c r="H196" s="159" t="n">
        <v>23</v>
      </c>
      <c r="I196" s="148" t="n">
        <v>14</v>
      </c>
      <c r="J196" s="148" t="n">
        <v>15</v>
      </c>
      <c r="K196" s="149" t="n">
        <v>27094.04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4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208</v>
      </c>
      <c r="C198" s="19"/>
      <c r="D198" s="19"/>
      <c r="E198" s="127"/>
      <c r="F198" s="20"/>
      <c r="G198" s="146" t="s">
        <v>22</v>
      </c>
      <c r="H198" s="173" t="n">
        <v>50</v>
      </c>
      <c r="I198" s="148" t="n">
        <v>37</v>
      </c>
      <c r="J198" s="148" t="n">
        <v>37</v>
      </c>
      <c r="K198" s="149" t="n">
        <v>43241.42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28"/>
      <c r="F199" s="26" t="s">
        <v>246</v>
      </c>
      <c r="G199" s="152" t="s">
        <v>23</v>
      </c>
      <c r="H199" s="174" t="n">
        <v>14</v>
      </c>
      <c r="I199" s="154" t="n">
        <v>7</v>
      </c>
      <c r="J199" s="154" t="n">
        <v>7</v>
      </c>
      <c r="K199" s="155" t="n">
        <v>6375.01</v>
      </c>
      <c r="L199" s="155" t="n">
        <f aca="false">M199+N199</f>
        <v>6375.01</v>
      </c>
      <c r="M199" s="155" t="n">
        <v>6375.01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125</v>
      </c>
      <c r="C200" s="35" t="s">
        <v>33</v>
      </c>
      <c r="D200" s="35" t="s">
        <v>126</v>
      </c>
      <c r="E200" s="35" t="s">
        <v>127</v>
      </c>
      <c r="F200" s="36"/>
      <c r="G200" s="158" t="s">
        <v>22</v>
      </c>
      <c r="H200" s="159" t="n">
        <v>23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/>
      <c r="G201" s="164" t="s">
        <v>23</v>
      </c>
      <c r="H201" s="171" t="n">
        <v>36</v>
      </c>
      <c r="I201" s="165" t="n">
        <v>15</v>
      </c>
      <c r="J201" s="165" t="n">
        <v>15</v>
      </c>
      <c r="K201" s="166" t="n">
        <v>32666.09</v>
      </c>
      <c r="L201" s="166" t="n">
        <v>28413.38</v>
      </c>
      <c r="M201" s="166" t="n">
        <v>28413.38</v>
      </c>
      <c r="N201" s="156"/>
      <c r="O201" s="168" t="n">
        <v>16</v>
      </c>
      <c r="P201" s="166" t="n">
        <v>44153.02</v>
      </c>
      <c r="Q201" s="166" t="n">
        <v>44153.02</v>
      </c>
      <c r="R201" s="166" t="n">
        <v>44153.02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18" t="s">
        <v>128</v>
      </c>
      <c r="C202" s="19" t="s">
        <v>20</v>
      </c>
      <c r="D202" s="19"/>
      <c r="E202" s="19" t="s">
        <v>25</v>
      </c>
      <c r="F202" s="20"/>
      <c r="G202" s="146" t="s">
        <v>22</v>
      </c>
      <c r="H202" s="159" t="n">
        <v>28</v>
      </c>
      <c r="I202" s="148" t="n">
        <v>25</v>
      </c>
      <c r="J202" s="148" t="n">
        <v>30</v>
      </c>
      <c r="K202" s="149" t="n">
        <v>32113.06</v>
      </c>
      <c r="L202" s="149" t="n">
        <f aca="false">M202+N202</f>
        <v>23180.8</v>
      </c>
      <c r="M202" s="149" t="n">
        <v>23180.8</v>
      </c>
      <c r="N202" s="190"/>
      <c r="O202" s="151" t="n">
        <v>26</v>
      </c>
      <c r="P202" s="149" t="n">
        <v>74802.14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71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18" t="s">
        <v>227</v>
      </c>
      <c r="C204" s="19"/>
      <c r="D204" s="19"/>
      <c r="E204" s="19"/>
      <c r="F204" s="20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71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18" t="s">
        <v>296</v>
      </c>
      <c r="C206" s="19"/>
      <c r="D206" s="19"/>
      <c r="E206" s="19" t="s">
        <v>25</v>
      </c>
      <c r="F206" s="20"/>
      <c r="G206" s="146" t="s">
        <v>22</v>
      </c>
      <c r="H206" s="173" t="n">
        <v>3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57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34" t="s">
        <v>129</v>
      </c>
      <c r="C208" s="35" t="s">
        <v>38</v>
      </c>
      <c r="D208" s="35" t="s">
        <v>130</v>
      </c>
      <c r="E208" s="35" t="s">
        <v>25</v>
      </c>
      <c r="F208" s="36"/>
      <c r="G208" s="158" t="s">
        <v>22</v>
      </c>
      <c r="H208" s="159" t="n">
        <v>21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34"/>
      <c r="C209" s="34"/>
      <c r="D209" s="34"/>
      <c r="E209" s="34"/>
      <c r="F209" s="42" t="s">
        <v>209</v>
      </c>
      <c r="G209" s="164" t="s">
        <v>26</v>
      </c>
      <c r="H209" s="153" t="n">
        <v>6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18" t="s">
        <v>131</v>
      </c>
      <c r="C210" s="19" t="s">
        <v>38</v>
      </c>
      <c r="D210" s="19" t="s">
        <v>130</v>
      </c>
      <c r="E210" s="19" t="s">
        <v>25</v>
      </c>
      <c r="F210" s="20"/>
      <c r="G210" s="146" t="s">
        <v>22</v>
      </c>
      <c r="H210" s="159" t="n">
        <v>14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18"/>
      <c r="C211" s="18"/>
      <c r="D211" s="18"/>
      <c r="E211" s="18"/>
      <c r="F211" s="26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34" t="s">
        <v>132</v>
      </c>
      <c r="C212" s="35" t="s">
        <v>20</v>
      </c>
      <c r="D212" s="35"/>
      <c r="E212" s="35" t="s">
        <v>69</v>
      </c>
      <c r="F212" s="38"/>
      <c r="G212" s="146" t="s">
        <v>22</v>
      </c>
      <c r="H212" s="159" t="n">
        <v>20</v>
      </c>
      <c r="I212" s="160" t="n">
        <v>13</v>
      </c>
      <c r="J212" s="160" t="n">
        <v>22</v>
      </c>
      <c r="K212" s="161" t="n">
        <v>48466.94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34"/>
      <c r="C213" s="34"/>
      <c r="D213" s="34"/>
      <c r="E213" s="34"/>
      <c r="F213" s="42" t="s">
        <v>211</v>
      </c>
      <c r="G213" s="164" t="s">
        <v>26</v>
      </c>
      <c r="H213" s="153" t="n">
        <v>11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73" t="s">
        <v>133</v>
      </c>
      <c r="C214" s="74" t="s">
        <v>20</v>
      </c>
      <c r="D214" s="74"/>
      <c r="E214" s="74" t="s">
        <v>25</v>
      </c>
      <c r="F214" s="22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7984.73</v>
      </c>
      <c r="M214" s="149" t="n">
        <v>7984.73</v>
      </c>
      <c r="N214" s="190"/>
      <c r="O214" s="151" t="n">
        <v>3</v>
      </c>
      <c r="P214" s="149" t="n">
        <v>5504.35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73"/>
      <c r="C215" s="73"/>
      <c r="D215" s="73"/>
      <c r="E215" s="73"/>
      <c r="F215" s="42" t="s">
        <v>212</v>
      </c>
      <c r="G215" s="164" t="s">
        <v>26</v>
      </c>
      <c r="H215" s="171" t="n">
        <v>4</v>
      </c>
      <c r="I215" s="165" t="n">
        <v>1</v>
      </c>
      <c r="J215" s="165" t="n">
        <v>1</v>
      </c>
      <c r="K215" s="166" t="n">
        <v>1409.6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73" t="s">
        <v>134</v>
      </c>
      <c r="C216" s="74" t="s">
        <v>20</v>
      </c>
      <c r="D216" s="74"/>
      <c r="E216" s="74" t="s">
        <v>25</v>
      </c>
      <c r="F216" s="20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73"/>
      <c r="C217" s="73"/>
      <c r="D217" s="73"/>
      <c r="E217" s="73"/>
      <c r="F217" s="4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18" t="s">
        <v>135</v>
      </c>
      <c r="C218" s="19" t="s">
        <v>20</v>
      </c>
      <c r="D218" s="19"/>
      <c r="E218" s="19" t="s">
        <v>69</v>
      </c>
      <c r="F218" s="22"/>
      <c r="G218" s="146" t="s">
        <v>22</v>
      </c>
      <c r="H218" s="159" t="n">
        <v>22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18"/>
      <c r="C219" s="18"/>
      <c r="D219" s="18"/>
      <c r="E219" s="18"/>
      <c r="F219" s="26" t="s">
        <v>277</v>
      </c>
      <c r="G219" s="152" t="s">
        <v>26</v>
      </c>
      <c r="H219" s="171" t="n">
        <v>11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34" t="s">
        <v>136</v>
      </c>
      <c r="C220" s="35" t="s">
        <v>20</v>
      </c>
      <c r="D220" s="35"/>
      <c r="E220" s="35" t="s">
        <v>98</v>
      </c>
      <c r="F220" s="36"/>
      <c r="G220" s="146" t="s">
        <v>22</v>
      </c>
      <c r="H220" s="159" t="n">
        <v>24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34"/>
      <c r="C221" s="34"/>
      <c r="D221" s="34"/>
      <c r="E221" s="34"/>
      <c r="F221" s="4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18" t="s">
        <v>137</v>
      </c>
      <c r="C222" s="19" t="s">
        <v>20</v>
      </c>
      <c r="D222" s="19"/>
      <c r="E222" s="19" t="s">
        <v>25</v>
      </c>
      <c r="F222" s="20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18"/>
      <c r="C223" s="18"/>
      <c r="D223" s="18"/>
      <c r="E223" s="18"/>
      <c r="F223" s="26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55" t="s">
        <v>138</v>
      </c>
      <c r="C224" s="56" t="s">
        <v>33</v>
      </c>
      <c r="D224" s="56" t="s">
        <v>139</v>
      </c>
      <c r="E224" s="56" t="s">
        <v>25</v>
      </c>
      <c r="F224" s="36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55"/>
      <c r="C225" s="55"/>
      <c r="D225" s="55"/>
      <c r="E225" s="55"/>
      <c r="F225" s="26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34" t="s">
        <v>140</v>
      </c>
      <c r="C226" s="35" t="s">
        <v>20</v>
      </c>
      <c r="D226" s="35"/>
      <c r="E226" s="35" t="s">
        <v>141</v>
      </c>
      <c r="F226" s="36"/>
      <c r="G226" s="146" t="s">
        <v>22</v>
      </c>
      <c r="H226" s="159" t="n">
        <v>23</v>
      </c>
      <c r="I226" s="160" t="n">
        <v>18</v>
      </c>
      <c r="J226" s="160" t="n">
        <v>29</v>
      </c>
      <c r="K226" s="161" t="n">
        <v>45981.11</v>
      </c>
      <c r="L226" s="161" t="n">
        <f aca="false">M226+N226</f>
        <v>45981.11</v>
      </c>
      <c r="M226" s="161" t="n">
        <v>45981.11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34"/>
      <c r="C227" s="34"/>
      <c r="D227" s="34"/>
      <c r="E227" s="34"/>
      <c r="F227" s="42" t="s">
        <v>215</v>
      </c>
      <c r="G227" s="164" t="s">
        <v>26</v>
      </c>
      <c r="H227" s="175" t="n">
        <v>2</v>
      </c>
      <c r="I227" s="165" t="n">
        <v>2</v>
      </c>
      <c r="J227" s="165" t="n">
        <v>2</v>
      </c>
      <c r="K227" s="166" t="n">
        <v>1159.83</v>
      </c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18" t="s">
        <v>251</v>
      </c>
      <c r="C228" s="19" t="s">
        <v>20</v>
      </c>
      <c r="D228" s="19"/>
      <c r="E228" s="19" t="s">
        <v>116</v>
      </c>
      <c r="F228" s="20"/>
      <c r="G228" s="146" t="s">
        <v>22</v>
      </c>
      <c r="H228" s="173" t="n">
        <v>6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18"/>
      <c r="C229" s="18"/>
      <c r="D229" s="18"/>
      <c r="E229" s="18"/>
      <c r="F229" s="26" t="s">
        <v>252</v>
      </c>
      <c r="G229" s="152" t="s">
        <v>26</v>
      </c>
      <c r="H229" s="174" t="n">
        <v>9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55" t="s">
        <v>142</v>
      </c>
      <c r="C230" s="56" t="s">
        <v>20</v>
      </c>
      <c r="D230" s="56"/>
      <c r="E230" s="56" t="s">
        <v>25</v>
      </c>
      <c r="F230" s="36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55"/>
      <c r="C231" s="55"/>
      <c r="D231" s="55"/>
      <c r="E231" s="55"/>
      <c r="F231" s="42" t="s">
        <v>216</v>
      </c>
      <c r="G231" s="164" t="s">
        <v>26</v>
      </c>
      <c r="H231" s="177" t="n">
        <v>9</v>
      </c>
      <c r="I231" s="165" t="n">
        <v>5</v>
      </c>
      <c r="J231" s="165" t="n">
        <v>5</v>
      </c>
      <c r="K231" s="166" t="n">
        <v>10225.1</v>
      </c>
      <c r="L231" s="166" t="n">
        <f aca="false">M231+N231</f>
        <v>5990.8</v>
      </c>
      <c r="M231" s="166" t="n">
        <f aca="false">5167.21+823.59</f>
        <v>5990.8</v>
      </c>
      <c r="N231" s="167"/>
      <c r="O231" s="238" t="n">
        <v>14</v>
      </c>
      <c r="P231" s="166" t="n">
        <v>14903.5</v>
      </c>
      <c r="Q231" s="166" t="n">
        <f aca="false">R231+S231</f>
        <v>14903.5</v>
      </c>
      <c r="R231" s="166" t="n">
        <f aca="false">14903.5</f>
        <v>14903.5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18" t="s">
        <v>287</v>
      </c>
      <c r="C232" s="56" t="s">
        <v>20</v>
      </c>
      <c r="D232" s="19"/>
      <c r="E232" s="56" t="s">
        <v>25</v>
      </c>
      <c r="F232" s="20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18"/>
      <c r="C233" s="18"/>
      <c r="D233" s="18"/>
      <c r="E233" s="18"/>
      <c r="F233" s="26" t="s">
        <v>288</v>
      </c>
      <c r="G233" s="152" t="s">
        <v>26</v>
      </c>
      <c r="H233" s="176" t="n">
        <v>9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34" t="s">
        <v>143</v>
      </c>
      <c r="C234" s="35" t="s">
        <v>20</v>
      </c>
      <c r="D234" s="35"/>
      <c r="E234" s="35" t="s">
        <v>25</v>
      </c>
      <c r="F234" s="36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34"/>
      <c r="C235" s="34"/>
      <c r="D235" s="34"/>
      <c r="E235" s="34"/>
      <c r="F235" s="42" t="s">
        <v>217</v>
      </c>
      <c r="G235" s="164" t="s">
        <v>26</v>
      </c>
      <c r="H235" s="171" t="n">
        <v>9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18" t="s">
        <v>144</v>
      </c>
      <c r="C236" s="19" t="s">
        <v>20</v>
      </c>
      <c r="D236" s="19"/>
      <c r="E236" s="19" t="s">
        <v>81</v>
      </c>
      <c r="F236" s="20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18"/>
      <c r="C237" s="18"/>
      <c r="D237" s="18"/>
      <c r="E237" s="18"/>
      <c r="F237" s="26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34" t="s">
        <v>145</v>
      </c>
      <c r="C238" s="35" t="s">
        <v>20</v>
      </c>
      <c r="D238" s="35"/>
      <c r="E238" s="35" t="s">
        <v>98</v>
      </c>
      <c r="F238" s="36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34"/>
      <c r="C239" s="34"/>
      <c r="D239" s="34"/>
      <c r="E239" s="34"/>
      <c r="F239" s="71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18" t="s">
        <v>146</v>
      </c>
      <c r="C240" s="19" t="s">
        <v>20</v>
      </c>
      <c r="D240" s="19"/>
      <c r="E240" s="19" t="s">
        <v>25</v>
      </c>
      <c r="F240" s="22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16027.46</v>
      </c>
      <c r="M240" s="149" t="n">
        <v>13677.7</v>
      </c>
      <c r="N240" s="190" t="n">
        <v>2349.76</v>
      </c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18"/>
      <c r="C241" s="18"/>
      <c r="D241" s="18"/>
      <c r="E241" s="18"/>
      <c r="F241" s="42" t="s">
        <v>219</v>
      </c>
      <c r="G241" s="164" t="s">
        <v>26</v>
      </c>
      <c r="H241" s="178" t="n">
        <v>6</v>
      </c>
      <c r="I241" s="165" t="n">
        <v>5</v>
      </c>
      <c r="J241" s="165" t="n">
        <v>5</v>
      </c>
      <c r="K241" s="166" t="n">
        <v>9225.65</v>
      </c>
      <c r="L241" s="166" t="n">
        <f aca="false">M241+N241</f>
        <v>3150.65</v>
      </c>
      <c r="M241" s="166" t="n">
        <f aca="false">3150.65</f>
        <v>3150.65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18" t="s">
        <v>289</v>
      </c>
      <c r="C242" s="19"/>
      <c r="D242" s="19"/>
      <c r="E242" s="19"/>
      <c r="F242" s="20"/>
      <c r="G242" s="146" t="s">
        <v>22</v>
      </c>
      <c r="H242" s="173" t="n">
        <v>7</v>
      </c>
      <c r="I242" s="148" t="n">
        <v>6</v>
      </c>
      <c r="J242" s="148" t="n">
        <v>10</v>
      </c>
      <c r="K242" s="149" t="n">
        <v>10180.58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18"/>
      <c r="C243" s="18"/>
      <c r="D243" s="18"/>
      <c r="E243" s="18"/>
      <c r="F243" s="57"/>
      <c r="G243" s="152" t="s">
        <v>23</v>
      </c>
      <c r="H243" s="174" t="n">
        <v>4</v>
      </c>
      <c r="I243" s="154" t="n">
        <v>2</v>
      </c>
      <c r="J243" s="154" t="n">
        <v>2</v>
      </c>
      <c r="K243" s="155" t="n">
        <v>3743.41</v>
      </c>
      <c r="L243" s="155" t="n">
        <v>2325.84</v>
      </c>
      <c r="M243" s="155" t="n">
        <v>2325.84</v>
      </c>
      <c r="N243" s="226"/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55" t="s">
        <v>147</v>
      </c>
      <c r="C244" s="56" t="s">
        <v>20</v>
      </c>
      <c r="D244" s="56"/>
      <c r="E244" s="56" t="s">
        <v>25</v>
      </c>
      <c r="F244" s="97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55"/>
      <c r="C245" s="55"/>
      <c r="D245" s="55"/>
      <c r="E245" s="55"/>
      <c r="F245" s="42" t="s">
        <v>220</v>
      </c>
      <c r="G245" s="164" t="s">
        <v>26</v>
      </c>
      <c r="H245" s="172" t="n">
        <v>12</v>
      </c>
      <c r="I245" s="165" t="n">
        <v>6</v>
      </c>
      <c r="J245" s="165" t="n">
        <v>7</v>
      </c>
      <c r="K245" s="166" t="n">
        <v>17440.6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18" t="s">
        <v>297</v>
      </c>
      <c r="C246" s="19"/>
      <c r="D246" s="19"/>
      <c r="E246" s="19" t="s">
        <v>25</v>
      </c>
      <c r="F246" s="22"/>
      <c r="G246" s="146" t="s">
        <v>22</v>
      </c>
      <c r="H246" s="173" t="n">
        <v>4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18"/>
      <c r="C247" s="18"/>
      <c r="D247" s="18"/>
      <c r="E247" s="18"/>
      <c r="F247" s="26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55" t="s">
        <v>148</v>
      </c>
      <c r="C248" s="56" t="s">
        <v>20</v>
      </c>
      <c r="D248" s="56"/>
      <c r="E248" s="56" t="s">
        <v>21</v>
      </c>
      <c r="F248" s="38"/>
      <c r="G248" s="158" t="s">
        <v>22</v>
      </c>
      <c r="H248" s="159" t="n">
        <v>4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55"/>
      <c r="C249" s="55"/>
      <c r="D249" s="55"/>
      <c r="E249" s="55"/>
      <c r="F249" s="26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2382</v>
      </c>
      <c r="I250" s="214" t="n">
        <f aca="false">SUM(I9:I249)</f>
        <v>1514</v>
      </c>
      <c r="J250" s="214" t="n">
        <f aca="false">SUM(J9:J249)</f>
        <v>1823</v>
      </c>
      <c r="K250" s="215" t="n">
        <f aca="false">SUM(K9:K249)</f>
        <v>3206190.05</v>
      </c>
      <c r="L250" s="215" t="n">
        <f aca="false">SUM(L9:L249)</f>
        <v>2490563.34</v>
      </c>
      <c r="M250" s="215" t="n">
        <f aca="false">SUM(M9:M249)</f>
        <v>2407387.23</v>
      </c>
      <c r="N250" s="243" t="n">
        <f aca="false">SUM(N9:N249)</f>
        <v>83170.61</v>
      </c>
      <c r="O250" s="244" t="n">
        <f aca="false">SUM(O9:O249)</f>
        <v>1171</v>
      </c>
      <c r="P250" s="245" t="n">
        <f aca="false">SUM(P9:P249)</f>
        <v>4382541.48</v>
      </c>
      <c r="Q250" s="245" t="n">
        <f aca="false">SUM(Q9:Q249)</f>
        <v>3999111.64</v>
      </c>
      <c r="R250" s="245" t="n">
        <f aca="false">SUM(R9:R249)</f>
        <v>3977973.99</v>
      </c>
      <c r="S250" s="246" t="n">
        <f aca="false">SUM(S9:S249)</f>
        <v>28869.85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1614</v>
      </c>
      <c r="H256" s="108" t="n">
        <f aca="false">SUMIF($G$9:$G$249,$F$256,I9:I249)</f>
        <v>1149</v>
      </c>
      <c r="I256" s="108" t="n">
        <f aca="false">SUMIF($G$9:$G$249,$F$256,J9:J249)</f>
        <v>1454</v>
      </c>
      <c r="J256" s="110" t="n">
        <f aca="false">SUMIF($G$9:$G$249,F256,$K$9:$K$249)</f>
        <v>2584413.99</v>
      </c>
      <c r="K256" s="110" t="n">
        <f aca="false">SUMIF($G$9:$G$249,$F$256,L9:L249)</f>
        <v>2004362.32</v>
      </c>
      <c r="L256" s="110" t="n">
        <f aca="false">SUMIF($G$9:$G$249,$F$256,M9:M249)</f>
        <v>1935117.49</v>
      </c>
      <c r="M256" s="110" t="n">
        <f aca="false">SUMIF($G$9:$G$249,$F$256,N9:N249)</f>
        <v>69244.83</v>
      </c>
      <c r="N256" s="108" t="n">
        <f aca="false">SUMIF($G$9:$G$249,$F$256,O9:O249)</f>
        <v>793</v>
      </c>
      <c r="O256" s="110" t="n">
        <f aca="false">SUMIF($G$9:$G$249,F256,$P$9:$P$249)</f>
        <v>3375396.24</v>
      </c>
      <c r="P256" s="110" t="n">
        <f aca="false">SUMIF($G$9:$G$249,$F$256,Q9:Q249)</f>
        <v>3006105.26</v>
      </c>
      <c r="Q256" s="110" t="n">
        <f aca="false">SUMIF($G$9:$G$249,$F$256,R9:R249)</f>
        <v>2977235.41</v>
      </c>
      <c r="R256" s="110" t="n">
        <f aca="false">SUMIF($G$9:$G$249,$F$256,S9:S249)</f>
        <v>28869.85</v>
      </c>
      <c r="S256" s="110" t="n">
        <f aca="false">Q256+L256</f>
        <v>4912352.9</v>
      </c>
      <c r="T256" s="111" t="n">
        <f aca="false">J256-L256+O256-Q256</f>
        <v>1047457.33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497</v>
      </c>
      <c r="H257" s="108" t="n">
        <f aca="false">SUMIF($G$9:$G$249,$F$257,I9:I249)</f>
        <v>209</v>
      </c>
      <c r="I257" s="108" t="n">
        <f aca="false">SUMIF($G$9:$G$249,$F$257,J9:J249)</f>
        <v>213</v>
      </c>
      <c r="J257" s="110" t="n">
        <f aca="false">SUMIF($G$9:$G$249,F257,$K$9:$K$249)</f>
        <v>420852.74</v>
      </c>
      <c r="K257" s="110" t="n">
        <f aca="false">SUMIF($G$9:$G$249,$F$257,L9:L249)</f>
        <v>309665.93</v>
      </c>
      <c r="L257" s="110" t="n">
        <f aca="false">SUMIF($G$9:$G$249,$F$257,M9:M249)</f>
        <v>295734.65</v>
      </c>
      <c r="M257" s="110" t="n">
        <f aca="false">SUMIF($G$9:$G$249,$F$257,N9:N249)</f>
        <v>13925.78</v>
      </c>
      <c r="N257" s="108" t="n">
        <f aca="false">SUMIF($G$9:$G$249,$F$257,O9:O249)</f>
        <v>276</v>
      </c>
      <c r="O257" s="110" t="n">
        <f aca="false">SUMIF($G$9:$G$249,F257,$P$9:$P$249)</f>
        <v>789945.29</v>
      </c>
      <c r="P257" s="110" t="n">
        <f aca="false">SUMIF($G$9:$G$249,$F$257,Q9:Q249)</f>
        <v>778205.63</v>
      </c>
      <c r="Q257" s="110" t="n">
        <f aca="false">SUMIF($G$9:$G$249,$F$257,R9:R249)</f>
        <v>785937.83</v>
      </c>
      <c r="R257" s="110" t="n">
        <f aca="false">SUMIF($G$9:$G$249,$F$257,S9:S249)</f>
        <v>0</v>
      </c>
      <c r="S257" s="110" t="n">
        <f aca="false">Q257+L257</f>
        <v>1081672.48</v>
      </c>
      <c r="T257" s="111" t="n">
        <f aca="false">J257-L257+O257-Q257</f>
        <v>129125.55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271</v>
      </c>
      <c r="H258" s="108" t="n">
        <f aca="false">SUMIF($G$9:$G$249,$F$258,I9:I249)</f>
        <v>156</v>
      </c>
      <c r="I258" s="108" t="n">
        <f aca="false">SUMIF($G$9:$G$249,$F$258,J9:J249)</f>
        <v>156</v>
      </c>
      <c r="J258" s="110" t="n">
        <f aca="false">SUMIF($G$9:$G$249,F258,$K$9:$K$249)</f>
        <v>200923.32</v>
      </c>
      <c r="K258" s="110" t="n">
        <f aca="false">SUMIF($G$9:$G$249,$F$258,L9:L249)</f>
        <v>176535.09</v>
      </c>
      <c r="L258" s="110" t="n">
        <f aca="false">SUMIF($G$9:$G$249,$F$258,M9:M249)</f>
        <v>176535.09</v>
      </c>
      <c r="M258" s="110" t="n">
        <f aca="false">SUMIF($G$9:$G$249,$F$258,N9:N249)</f>
        <v>0</v>
      </c>
      <c r="N258" s="108" t="n">
        <f aca="false">SUMIF($G$9:$G$249,$F$258,O9:O249)</f>
        <v>102</v>
      </c>
      <c r="O258" s="110" t="n">
        <f aca="false">SUMIF($G$9:$G$249,F258,$P$9:$P$249)</f>
        <v>217199.95</v>
      </c>
      <c r="P258" s="110" t="n">
        <f aca="false">SUMIF($G$9:$G$249,$F$258,Q9:Q249)</f>
        <v>214800.75</v>
      </c>
      <c r="Q258" s="110" t="n">
        <f aca="false">SUMIF($G$9:$G$249,$F$258,R9:R249)</f>
        <v>214800.75</v>
      </c>
      <c r="R258" s="110" t="n">
        <f aca="false">SUMIF($G$9:$G$249,$F$258,S9:S249)</f>
        <v>0</v>
      </c>
      <c r="S258" s="110" t="n">
        <f aca="false">Q258+L258</f>
        <v>391335.84</v>
      </c>
      <c r="T258" s="111" t="n">
        <f aca="false">J258-L258+O258-Q258</f>
        <v>26787.43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2382</v>
      </c>
      <c r="H259" s="216" t="n">
        <f aca="false">H258+H257+H256</f>
        <v>1514</v>
      </c>
      <c r="I259" s="216" t="n">
        <f aca="false">I258+I257+I256</f>
        <v>1823</v>
      </c>
      <c r="J259" s="217" t="n">
        <f aca="false">J258+J257+J256</f>
        <v>3206190.05</v>
      </c>
      <c r="K259" s="217" t="n">
        <f aca="false">K258+K257+K256</f>
        <v>2490563.34</v>
      </c>
      <c r="L259" s="217" t="n">
        <f aca="false">L258+L257+L256</f>
        <v>2407387.23</v>
      </c>
      <c r="M259" s="217" t="n">
        <f aca="false">M258+M257+M256</f>
        <v>83170.61</v>
      </c>
      <c r="N259" s="216" t="n">
        <f aca="false">N258+N257+N256</f>
        <v>1171</v>
      </c>
      <c r="O259" s="217" t="n">
        <f aca="false">O258+O257+O256</f>
        <v>4382541.48</v>
      </c>
      <c r="P259" s="217" t="n">
        <f aca="false">P258+P257+P256</f>
        <v>3999111.64</v>
      </c>
      <c r="Q259" s="217" t="n">
        <f aca="false">Q258+Q257+Q256</f>
        <v>3977973.99</v>
      </c>
      <c r="R259" s="217" t="n">
        <f aca="false">R258+R257+R256</f>
        <v>28869.85</v>
      </c>
      <c r="S259" s="217" t="n">
        <f aca="false">S258+S257+S256</f>
        <v>6385361.22</v>
      </c>
      <c r="T259" s="217" t="n">
        <f aca="false">T258+T257+T256</f>
        <v>1203370.31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1614</v>
      </c>
      <c r="H320" s="247" t="n">
        <v>1149</v>
      </c>
      <c r="I320" s="247" t="n">
        <v>1454</v>
      </c>
      <c r="J320" s="0" t="n">
        <v>2584413.99</v>
      </c>
      <c r="K320" s="236"/>
      <c r="N320" s="0" t="n">
        <v>793</v>
      </c>
      <c r="O320" s="0" t="n">
        <v>3375396.24</v>
      </c>
    </row>
    <row r="321" customFormat="false" ht="15" hidden="false" customHeight="false" outlineLevel="0" collapsed="false">
      <c r="G321" s="221" t="n">
        <f aca="false">G256-G320</f>
        <v>0</v>
      </c>
      <c r="H321" s="221" t="n">
        <f aca="false">H256-H320</f>
        <v>0</v>
      </c>
      <c r="I321" s="221" t="n">
        <f aca="false">I256-I320</f>
        <v>0</v>
      </c>
      <c r="J321" s="229" t="n">
        <f aca="false">J256-J320</f>
        <v>0</v>
      </c>
      <c r="K321" s="236"/>
      <c r="N321" s="221" t="n">
        <f aca="false">N256-N320</f>
        <v>0</v>
      </c>
      <c r="O321" s="229" t="n">
        <f aca="false">O256-O320</f>
        <v>0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7" right="0.7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28887.49</v>
      </c>
      <c r="S9" s="190" t="n">
        <v>8136.08</v>
      </c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28</v>
      </c>
      <c r="I11" s="160" t="n">
        <v>20</v>
      </c>
      <c r="J11" s="160" t="n">
        <v>35</v>
      </c>
      <c r="K11" s="161" t="n">
        <v>76881.26</v>
      </c>
      <c r="L11" s="161" t="n">
        <f aca="false">M11+N11</f>
        <v>71801.93</v>
      </c>
      <c r="M11" s="161" t="n">
        <v>71801.93</v>
      </c>
      <c r="N11" s="239"/>
      <c r="O11" s="151" t="n">
        <v>10</v>
      </c>
      <c r="P11" s="149" t="n">
        <v>44135.02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7</v>
      </c>
      <c r="I12" s="165"/>
      <c r="J12" s="165"/>
      <c r="K12" s="166"/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34</v>
      </c>
      <c r="I13" s="148" t="n">
        <v>29</v>
      </c>
      <c r="J13" s="148" t="n">
        <v>45</v>
      </c>
      <c r="K13" s="149" t="n">
        <v>73002.61</v>
      </c>
      <c r="L13" s="149" t="n">
        <f aca="false">M13+N13</f>
        <v>53490.39</v>
      </c>
      <c r="M13" s="149" t="n">
        <v>53490.39</v>
      </c>
      <c r="N13" s="249"/>
      <c r="O13" s="228" t="n">
        <v>7</v>
      </c>
      <c r="P13" s="161" t="n">
        <v>21729.06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6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17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6</v>
      </c>
      <c r="J20" s="154" t="n">
        <v>6</v>
      </c>
      <c r="K20" s="155" t="n">
        <v>4485</v>
      </c>
      <c r="L20" s="155" t="n">
        <f aca="false">M20+N20</f>
        <v>2986.2</v>
      </c>
      <c r="M20" s="155" t="n">
        <f aca="false">2986.2</f>
        <v>2986.2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22</v>
      </c>
      <c r="I21" s="160" t="n">
        <v>16</v>
      </c>
      <c r="J21" s="160" t="n">
        <v>21</v>
      </c>
      <c r="K21" s="161" t="n">
        <v>27754.71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30</v>
      </c>
      <c r="I23" s="160" t="n">
        <v>24</v>
      </c>
      <c r="J23" s="160" t="n">
        <v>40</v>
      </c>
      <c r="K23" s="161" t="n">
        <v>58838.45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28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26</v>
      </c>
      <c r="I27" s="160" t="n">
        <v>25</v>
      </c>
      <c r="J27" s="160" t="n">
        <v>40</v>
      </c>
      <c r="K27" s="161" t="n">
        <v>75002.91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8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14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10</v>
      </c>
      <c r="I33" s="160" t="n">
        <v>4</v>
      </c>
      <c r="J33" s="160" t="n">
        <v>5</v>
      </c>
      <c r="K33" s="161" t="n">
        <v>11806.61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17</v>
      </c>
      <c r="I34" s="165" t="n">
        <v>4</v>
      </c>
      <c r="J34" s="165" t="n">
        <v>4</v>
      </c>
      <c r="K34" s="166" t="n">
        <v>9718.14</v>
      </c>
      <c r="L34" s="166" t="n">
        <v>3347.8</v>
      </c>
      <c r="M34" s="166" t="n">
        <v>3347.8</v>
      </c>
      <c r="N34" s="167" t="n">
        <v>6370.34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9</v>
      </c>
      <c r="J38" s="154" t="n">
        <v>9</v>
      </c>
      <c r="K38" s="155" t="n">
        <v>12694.65</v>
      </c>
      <c r="L38" s="155" t="n">
        <f aca="false">M38+N38</f>
        <v>11866.2</v>
      </c>
      <c r="M38" s="155" t="n">
        <f aca="false">10301.35+1012.55+552.3</f>
        <v>11866.2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20</v>
      </c>
      <c r="I43" s="160" t="n">
        <v>16</v>
      </c>
      <c r="J43" s="160" t="n">
        <v>22</v>
      </c>
      <c r="K43" s="161" t="n">
        <v>47965.48</v>
      </c>
      <c r="L43" s="161" t="n">
        <f aca="false">M43+N43</f>
        <v>45365.83</v>
      </c>
      <c r="M43" s="161" t="n">
        <v>36053.18</v>
      </c>
      <c r="N43" s="190" t="n">
        <v>9312.65</v>
      </c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16348.07</v>
      </c>
      <c r="M46" s="166" t="n">
        <f aca="false">2209.2+213.09</f>
        <v>2422.29</v>
      </c>
      <c r="N46" s="156" t="n">
        <f aca="false">13925.78</f>
        <v>13925.78</v>
      </c>
      <c r="O46" s="168" t="n">
        <v>8</v>
      </c>
      <c r="P46" s="166" t="n">
        <v>19654.4</v>
      </c>
      <c r="Q46" s="149" t="n">
        <f aca="false">R46+S46</f>
        <v>19654.4</v>
      </c>
      <c r="R46" s="166" t="n">
        <f aca="false">19654.4</f>
        <v>19654.4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12699.01</v>
      </c>
      <c r="R47" s="149" t="n">
        <v>12699.01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7</v>
      </c>
      <c r="P48" s="155" t="n">
        <v>17663.63</v>
      </c>
      <c r="Q48" s="155" t="n">
        <f aca="false">R48+S48</f>
        <v>17663.63</v>
      </c>
      <c r="R48" s="155" t="n">
        <f aca="false">16697.1+966.53</f>
        <v>17663.63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59</v>
      </c>
      <c r="I53" s="148" t="n">
        <v>53</v>
      </c>
      <c r="J53" s="148" t="n">
        <v>56</v>
      </c>
      <c r="K53" s="149" t="n">
        <v>77229.87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7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36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8</v>
      </c>
      <c r="I57" s="160" t="n">
        <v>6</v>
      </c>
      <c r="J57" s="160" t="n">
        <v>7</v>
      </c>
      <c r="K57" s="161" t="n">
        <v>18775.06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8</v>
      </c>
      <c r="I59" s="148" t="n">
        <v>5</v>
      </c>
      <c r="J59" s="148" t="n">
        <v>7</v>
      </c>
      <c r="K59" s="149" t="n">
        <v>19614.06</v>
      </c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9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8</v>
      </c>
      <c r="I63" s="148" t="n">
        <v>4</v>
      </c>
      <c r="J63" s="148" t="n">
        <v>4</v>
      </c>
      <c r="K63" s="149" t="n">
        <v>1638.66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8</v>
      </c>
      <c r="I64" s="154" t="n">
        <v>4</v>
      </c>
      <c r="J64" s="154" t="n">
        <v>4</v>
      </c>
      <c r="K64" s="155" t="n">
        <v>6783.7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16</v>
      </c>
      <c r="I65" s="160" t="n">
        <v>16</v>
      </c>
      <c r="J65" s="160" t="n">
        <v>20</v>
      </c>
      <c r="K65" s="161" t="n">
        <v>38491.65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9</v>
      </c>
      <c r="J67" s="148" t="n">
        <v>13</v>
      </c>
      <c r="K67" s="149" t="n">
        <v>27655.63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10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30</v>
      </c>
      <c r="I71" s="148" t="n">
        <v>20</v>
      </c>
      <c r="J71" s="148" t="n">
        <v>23</v>
      </c>
      <c r="K71" s="149" t="n">
        <v>49173.24</v>
      </c>
      <c r="L71" s="149" t="n">
        <f aca="false">M71+N71</f>
        <v>49173.24</v>
      </c>
      <c r="M71" s="149" t="n">
        <v>35297.27</v>
      </c>
      <c r="N71" s="190" t="n">
        <v>13875.97</v>
      </c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38</v>
      </c>
      <c r="I73" s="160" t="n">
        <v>27</v>
      </c>
      <c r="J73" s="160" t="n">
        <v>35</v>
      </c>
      <c r="K73" s="161" t="n">
        <v>74580.45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2</v>
      </c>
      <c r="J74" s="165" t="n">
        <v>2</v>
      </c>
      <c r="K74" s="166" t="n">
        <v>1771.96</v>
      </c>
      <c r="L74" s="166" t="n">
        <f aca="false">M74+N74</f>
        <v>1771.96</v>
      </c>
      <c r="M74" s="166" t="n">
        <v>1012.55</v>
      </c>
      <c r="N74" s="156" t="n">
        <v>759.41</v>
      </c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18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17</v>
      </c>
      <c r="I81" s="148" t="n">
        <v>9</v>
      </c>
      <c r="J81" s="148" t="n">
        <v>9</v>
      </c>
      <c r="K81" s="149" t="n">
        <v>32053.43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15</v>
      </c>
      <c r="J82" s="154" t="n">
        <v>15</v>
      </c>
      <c r="K82" s="155" t="n">
        <v>24396.22</v>
      </c>
      <c r="L82" s="155" t="n">
        <v>19787.82</v>
      </c>
      <c r="M82" s="155" t="n">
        <v>19787.82</v>
      </c>
      <c r="N82" s="156" t="n">
        <v>4608.4</v>
      </c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3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10</v>
      </c>
      <c r="P85" s="149" t="n">
        <v>30652.75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12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39</v>
      </c>
      <c r="I90" s="165" t="n">
        <v>36</v>
      </c>
      <c r="J90" s="165" t="n">
        <v>36</v>
      </c>
      <c r="K90" s="166" t="n">
        <v>42806.8</v>
      </c>
      <c r="L90" s="166" t="n">
        <v>41149.9</v>
      </c>
      <c r="M90" s="166" t="n">
        <v>41149.9</v>
      </c>
      <c r="N90" s="156" t="n">
        <v>1656.9</v>
      </c>
      <c r="O90" s="168" t="n">
        <v>36</v>
      </c>
      <c r="P90" s="166" t="n">
        <v>74775.97</v>
      </c>
      <c r="Q90" s="166" t="n">
        <v>71364.22</v>
      </c>
      <c r="R90" s="166" t="n">
        <v>71364.22</v>
      </c>
      <c r="S90" s="156" t="n">
        <v>3411.75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8</v>
      </c>
      <c r="I91" s="148" t="n">
        <v>6</v>
      </c>
      <c r="J91" s="148" t="n">
        <v>7</v>
      </c>
      <c r="K91" s="149" t="n">
        <v>10742.58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9</v>
      </c>
      <c r="I92" s="165" t="n">
        <v>6</v>
      </c>
      <c r="J92" s="165" t="n">
        <v>6</v>
      </c>
      <c r="K92" s="166" t="n">
        <v>10154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15</v>
      </c>
      <c r="I93" s="148" t="n">
        <v>7</v>
      </c>
      <c r="J93" s="148" t="n">
        <v>8</v>
      </c>
      <c r="K93" s="149" t="n">
        <v>17007.72</v>
      </c>
      <c r="L93" s="149" t="n">
        <f aca="false">M93+N93</f>
        <v>14215.51</v>
      </c>
      <c r="M93" s="149" t="n">
        <v>14215.51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12</v>
      </c>
      <c r="I97" s="160" t="n">
        <v>9</v>
      </c>
      <c r="J97" s="160" t="n">
        <v>13</v>
      </c>
      <c r="K97" s="161" t="n">
        <v>22159.57</v>
      </c>
      <c r="L97" s="161" t="n">
        <f aca="false">M97+N97</f>
        <v>11231.55</v>
      </c>
      <c r="M97" s="161" t="n">
        <v>11231.55</v>
      </c>
      <c r="N97" s="190"/>
      <c r="O97" s="163" t="n">
        <v>9</v>
      </c>
      <c r="P97" s="161" t="n">
        <v>62858.94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5</v>
      </c>
      <c r="J99" s="148" t="n">
        <v>6</v>
      </c>
      <c r="K99" s="149" t="n">
        <v>12192.88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33</v>
      </c>
      <c r="I101" s="160" t="n">
        <v>28</v>
      </c>
      <c r="J101" s="160" t="n">
        <v>32</v>
      </c>
      <c r="K101" s="161" t="n">
        <v>63185.25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23170.3</v>
      </c>
      <c r="R102" s="166" t="n">
        <f aca="false">21936.9+1233.4</f>
        <v>23170.3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24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12723.15</v>
      </c>
      <c r="M103" s="149" t="n">
        <v>12723.15</v>
      </c>
      <c r="N103" s="190"/>
      <c r="O103" s="151" t="n">
        <v>3</v>
      </c>
      <c r="P103" s="149" t="n">
        <v>18333.88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12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10</v>
      </c>
      <c r="P105" s="149" t="n">
        <v>50989.25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8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6038.2</v>
      </c>
      <c r="M107" s="155" t="n">
        <v>6038.2</v>
      </c>
      <c r="N107" s="156" t="n">
        <v>828.45</v>
      </c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10</v>
      </c>
      <c r="I108" s="160" t="n">
        <v>6</v>
      </c>
      <c r="J108" s="160" t="n">
        <v>7</v>
      </c>
      <c r="K108" s="161" t="n">
        <v>13195.1</v>
      </c>
      <c r="L108" s="161" t="n">
        <f aca="false">M108+N108</f>
        <v>11123.42</v>
      </c>
      <c r="M108" s="161" t="n">
        <v>11123.42</v>
      </c>
      <c r="N108" s="190"/>
      <c r="O108" s="163" t="n">
        <v>11</v>
      </c>
      <c r="P108" s="161" t="n">
        <v>40851.54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9</v>
      </c>
      <c r="I110" s="148" t="n">
        <v>5</v>
      </c>
      <c r="J110" s="148" t="n">
        <v>6</v>
      </c>
      <c r="K110" s="149" t="n">
        <v>7909.09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34</v>
      </c>
      <c r="I112" s="148" t="n">
        <v>29</v>
      </c>
      <c r="J112" s="148" t="n">
        <v>39</v>
      </c>
      <c r="K112" s="149" t="n">
        <v>54849.81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6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7785.95</v>
      </c>
      <c r="M113" s="166" t="n">
        <f aca="false">6957.5+828.45</f>
        <v>7785.95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15</v>
      </c>
      <c r="I116" s="160" t="n">
        <v>10</v>
      </c>
      <c r="J116" s="160" t="n">
        <v>10</v>
      </c>
      <c r="K116" s="161" t="n">
        <v>9972.74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35</v>
      </c>
      <c r="I118" s="160" t="n">
        <v>28</v>
      </c>
      <c r="J118" s="160" t="n">
        <v>40</v>
      </c>
      <c r="K118" s="161" t="n">
        <v>77493.29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10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39</v>
      </c>
      <c r="I122" s="148" t="n">
        <v>26</v>
      </c>
      <c r="J122" s="148" t="n">
        <v>33</v>
      </c>
      <c r="K122" s="149" t="n">
        <v>41140.34</v>
      </c>
      <c r="L122" s="149" t="n">
        <f aca="false">M122+N122</f>
        <v>34241.19</v>
      </c>
      <c r="M122" s="149" t="n">
        <v>19998.93</v>
      </c>
      <c r="N122" s="190" t="n">
        <v>14242.26</v>
      </c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17228.94</v>
      </c>
      <c r="S122" s="190" t="n">
        <v>2310.79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28</v>
      </c>
      <c r="I123" s="165" t="n">
        <v>18</v>
      </c>
      <c r="J123" s="165" t="n">
        <v>18</v>
      </c>
      <c r="K123" s="166" t="n">
        <v>18912.49</v>
      </c>
      <c r="L123" s="166" t="n">
        <v>17623.79</v>
      </c>
      <c r="M123" s="166" t="n">
        <v>17623.79</v>
      </c>
      <c r="N123" s="156" t="n">
        <v>1288.7</v>
      </c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29</v>
      </c>
      <c r="I124" s="148" t="n">
        <v>20</v>
      </c>
      <c r="J124" s="148" t="n">
        <v>27</v>
      </c>
      <c r="K124" s="149" t="n">
        <v>123329.62</v>
      </c>
      <c r="L124" s="149" t="n">
        <f aca="false">M124+N124</f>
        <v>78634.92</v>
      </c>
      <c r="M124" s="149" t="n">
        <v>78634.92</v>
      </c>
      <c r="N124" s="190"/>
      <c r="O124" s="151" t="n">
        <v>22</v>
      </c>
      <c r="P124" s="149" t="n">
        <v>74402.24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39</v>
      </c>
      <c r="I126" s="160" t="n">
        <v>18</v>
      </c>
      <c r="J126" s="160" t="n">
        <v>20</v>
      </c>
      <c r="K126" s="161" t="n">
        <v>71054.41</v>
      </c>
      <c r="L126" s="161" t="n">
        <f aca="false">M126+N126</f>
        <v>33685.02</v>
      </c>
      <c r="M126" s="161" t="n">
        <v>33685.02</v>
      </c>
      <c r="N126" s="190"/>
      <c r="O126" s="163" t="n">
        <v>22</v>
      </c>
      <c r="P126" s="161" t="n">
        <v>156279.23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9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22</v>
      </c>
      <c r="I136" s="165" t="n">
        <v>15</v>
      </c>
      <c r="J136" s="165" t="n">
        <v>15</v>
      </c>
      <c r="K136" s="166" t="n">
        <v>15227.05</v>
      </c>
      <c r="L136" s="166" t="n">
        <v>13017.85</v>
      </c>
      <c r="M136" s="166" t="n">
        <v>13017.85</v>
      </c>
      <c r="N136" s="156" t="n">
        <v>2209.2</v>
      </c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36</v>
      </c>
      <c r="I137" s="148" t="n">
        <v>29</v>
      </c>
      <c r="J137" s="148" t="n">
        <v>37</v>
      </c>
      <c r="K137" s="149" t="n">
        <v>96989.14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15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13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7606.2</v>
      </c>
      <c r="N142" s="190" t="n">
        <v>4317.15</v>
      </c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48668.87</v>
      </c>
      <c r="S142" s="190" t="n">
        <v>8075.9</v>
      </c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16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4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9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8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23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8</v>
      </c>
      <c r="P147" s="161" t="n">
        <v>30446.34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8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8</v>
      </c>
      <c r="I149" s="148" t="n">
        <v>5</v>
      </c>
      <c r="J149" s="148" t="n">
        <v>6</v>
      </c>
      <c r="K149" s="149" t="n">
        <v>11405.63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3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4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2</v>
      </c>
      <c r="I153" s="160" t="n">
        <v>1</v>
      </c>
      <c r="J153" s="160" t="n">
        <v>1</v>
      </c>
      <c r="K153" s="161" t="n">
        <v>21512.83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4</v>
      </c>
      <c r="J157" s="160" t="n">
        <v>5</v>
      </c>
      <c r="K157" s="161" t="n">
        <v>7292.31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1104.6</v>
      </c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14</v>
      </c>
      <c r="I159" s="148" t="n">
        <v>13</v>
      </c>
      <c r="J159" s="148" t="n">
        <v>15</v>
      </c>
      <c r="K159" s="149" t="n">
        <v>36529.17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31</v>
      </c>
      <c r="I161" s="148" t="n">
        <v>27</v>
      </c>
      <c r="J161" s="193" t="n">
        <v>33</v>
      </c>
      <c r="K161" s="149" t="n">
        <v>41438.77</v>
      </c>
      <c r="L161" s="149" t="n">
        <f aca="false">M161+N161</f>
        <v>37553.38</v>
      </c>
      <c r="M161" s="149" t="n">
        <v>25113.93</v>
      </c>
      <c r="N161" s="190" t="n">
        <v>12439.45</v>
      </c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2</v>
      </c>
      <c r="J164" s="154" t="n">
        <v>2</v>
      </c>
      <c r="K164" s="242" t="n">
        <v>1472.8</v>
      </c>
      <c r="L164" s="242" t="n">
        <f aca="false">M164+N164</f>
        <v>1472.8</v>
      </c>
      <c r="M164" s="242" t="n">
        <v>1472.8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26</v>
      </c>
      <c r="I165" s="160" t="n">
        <v>25</v>
      </c>
      <c r="J165" s="160" t="n">
        <v>36</v>
      </c>
      <c r="K165" s="140" t="n">
        <v>90768.99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32741.22</v>
      </c>
      <c r="M167" s="149" t="n">
        <v>32741.22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4062.29</v>
      </c>
      <c r="M171" s="149" t="n">
        <v>4062.29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22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14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6</v>
      </c>
      <c r="I183" s="165" t="n">
        <v>2</v>
      </c>
      <c r="J183" s="165" t="n">
        <v>2</v>
      </c>
      <c r="K183" s="166" t="n">
        <v>1812.59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4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17230</v>
      </c>
      <c r="M185" s="155" t="n">
        <v>17230</v>
      </c>
      <c r="N185" s="156" t="n">
        <v>2209.2</v>
      </c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1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7</v>
      </c>
      <c r="I189" s="200" t="n">
        <v>4</v>
      </c>
      <c r="J189" s="200" t="n">
        <v>4</v>
      </c>
      <c r="K189" s="201" t="n">
        <v>6580.06</v>
      </c>
      <c r="L189" s="201" t="n">
        <f aca="false">M189+N189</f>
        <v>1104.6</v>
      </c>
      <c r="M189" s="201" t="n">
        <f aca="false">1104.6</f>
        <v>1104.6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44</v>
      </c>
      <c r="I192" s="148" t="n">
        <v>43</v>
      </c>
      <c r="J192" s="148" t="n">
        <v>60</v>
      </c>
      <c r="K192" s="149" t="n">
        <v>93504.71</v>
      </c>
      <c r="L192" s="149" t="n">
        <f aca="false">M192+N192</f>
        <v>89688.59</v>
      </c>
      <c r="M192" s="149" t="n">
        <v>76981</v>
      </c>
      <c r="N192" s="190" t="n">
        <v>12707.59</v>
      </c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125821.41</v>
      </c>
      <c r="S192" s="190" t="n">
        <v>10347.08</v>
      </c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11</v>
      </c>
      <c r="I195" s="165" t="n">
        <v>3</v>
      </c>
      <c r="J195" s="165" t="n">
        <v>3</v>
      </c>
      <c r="K195" s="166" t="n">
        <v>3313.8</v>
      </c>
      <c r="L195" s="161" t="n">
        <f aca="false">M195+N195</f>
        <v>2761.5</v>
      </c>
      <c r="M195" s="166" t="n">
        <f aca="false">2761.5</f>
        <v>2761.5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23</v>
      </c>
      <c r="I196" s="148" t="n">
        <v>14</v>
      </c>
      <c r="J196" s="148" t="n">
        <v>15</v>
      </c>
      <c r="K196" s="149" t="n">
        <v>27094.04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50</v>
      </c>
      <c r="I198" s="148" t="n">
        <v>37</v>
      </c>
      <c r="J198" s="148" t="n">
        <v>37</v>
      </c>
      <c r="K198" s="149" t="n">
        <v>43241.42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14</v>
      </c>
      <c r="I199" s="154" t="n">
        <v>7</v>
      </c>
      <c r="J199" s="154" t="n">
        <v>7</v>
      </c>
      <c r="K199" s="155" t="n">
        <v>6375.01</v>
      </c>
      <c r="L199" s="155" t="n">
        <f aca="false">M199+N199</f>
        <v>6375.01</v>
      </c>
      <c r="M199" s="155" t="n">
        <v>6375.01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23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15</v>
      </c>
      <c r="J201" s="165" t="n">
        <v>15</v>
      </c>
      <c r="K201" s="166" t="n">
        <v>32666.09</v>
      </c>
      <c r="L201" s="166" t="n">
        <v>28413.38</v>
      </c>
      <c r="M201" s="166" t="n">
        <v>28413.38</v>
      </c>
      <c r="N201" s="156" t="n">
        <v>4252.71</v>
      </c>
      <c r="O201" s="168" t="n">
        <v>17</v>
      </c>
      <c r="P201" s="166" t="n">
        <v>46178.12</v>
      </c>
      <c r="Q201" s="166" t="n">
        <v>44153.02</v>
      </c>
      <c r="R201" s="166" t="n">
        <v>44153.02</v>
      </c>
      <c r="S201" s="156" t="n">
        <v>2025.1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29</v>
      </c>
      <c r="I202" s="148" t="n">
        <v>25</v>
      </c>
      <c r="J202" s="148" t="n">
        <v>30</v>
      </c>
      <c r="K202" s="149" t="n">
        <v>32113.06</v>
      </c>
      <c r="L202" s="149" t="n">
        <f aca="false">M202+N202</f>
        <v>23180.8</v>
      </c>
      <c r="M202" s="149" t="n">
        <v>23180.8</v>
      </c>
      <c r="N202" s="190"/>
      <c r="O202" s="151" t="n">
        <v>26</v>
      </c>
      <c r="P202" s="149" t="n">
        <v>74802.14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3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7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20</v>
      </c>
      <c r="I212" s="160" t="n">
        <v>17</v>
      </c>
      <c r="J212" s="160" t="n">
        <v>28</v>
      </c>
      <c r="K212" s="161" t="n">
        <v>62675.5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11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7984.73</v>
      </c>
      <c r="M214" s="149" t="n">
        <v>7984.73</v>
      </c>
      <c r="N214" s="190"/>
      <c r="O214" s="151" t="n">
        <v>3</v>
      </c>
      <c r="P214" s="149" t="n">
        <v>5504.35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4</v>
      </c>
      <c r="I215" s="165" t="n">
        <v>1</v>
      </c>
      <c r="J215" s="165" t="n">
        <v>1</v>
      </c>
      <c r="K215" s="166" t="n">
        <v>1409.6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22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11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24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218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200" t="s">
        <v>138</v>
      </c>
      <c r="C224" s="200" t="s">
        <v>33</v>
      </c>
      <c r="D224" s="200" t="s">
        <v>139</v>
      </c>
      <c r="E224" s="200" t="s">
        <v>25</v>
      </c>
      <c r="F224" s="268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200"/>
      <c r="C225" s="200"/>
      <c r="D225" s="200"/>
      <c r="E225" s="200"/>
      <c r="F225" s="218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188" t="s">
        <v>140</v>
      </c>
      <c r="C226" s="188" t="s">
        <v>20</v>
      </c>
      <c r="D226" s="188"/>
      <c r="E226" s="188" t="s">
        <v>141</v>
      </c>
      <c r="F226" s="268"/>
      <c r="G226" s="146" t="s">
        <v>22</v>
      </c>
      <c r="H226" s="159" t="n">
        <v>23</v>
      </c>
      <c r="I226" s="160" t="n">
        <v>22</v>
      </c>
      <c r="J226" s="160" t="n">
        <v>33</v>
      </c>
      <c r="K226" s="161" t="n">
        <v>49999.33</v>
      </c>
      <c r="L226" s="161" t="n">
        <f aca="false">M226+N226</f>
        <v>45981.11</v>
      </c>
      <c r="M226" s="161" t="n">
        <v>45981.11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188"/>
      <c r="C227" s="188"/>
      <c r="D227" s="188"/>
      <c r="E227" s="188"/>
      <c r="F227" s="52" t="s">
        <v>215</v>
      </c>
      <c r="G227" s="164" t="s">
        <v>26</v>
      </c>
      <c r="H227" s="175" t="n">
        <v>2</v>
      </c>
      <c r="I227" s="165" t="n">
        <v>2</v>
      </c>
      <c r="J227" s="165" t="n">
        <v>2</v>
      </c>
      <c r="K227" s="166" t="n">
        <v>1159.83</v>
      </c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266" t="s">
        <v>251</v>
      </c>
      <c r="C228" s="266" t="s">
        <v>20</v>
      </c>
      <c r="D228" s="266"/>
      <c r="E228" s="266" t="s">
        <v>116</v>
      </c>
      <c r="F228" s="267"/>
      <c r="G228" s="146" t="s">
        <v>22</v>
      </c>
      <c r="H228" s="173" t="n">
        <v>7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266"/>
      <c r="C229" s="266"/>
      <c r="D229" s="266"/>
      <c r="E229" s="266"/>
      <c r="F229" s="218" t="s">
        <v>252</v>
      </c>
      <c r="G229" s="152" t="s">
        <v>26</v>
      </c>
      <c r="H229" s="174" t="n">
        <v>9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200" t="s">
        <v>142</v>
      </c>
      <c r="C230" s="200" t="s">
        <v>20</v>
      </c>
      <c r="D230" s="200"/>
      <c r="E230" s="200" t="s">
        <v>25</v>
      </c>
      <c r="F230" s="268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200"/>
      <c r="C231" s="200"/>
      <c r="D231" s="200"/>
      <c r="E231" s="200"/>
      <c r="F231" s="52" t="s">
        <v>216</v>
      </c>
      <c r="G231" s="164" t="s">
        <v>26</v>
      </c>
      <c r="H231" s="177" t="n">
        <v>9</v>
      </c>
      <c r="I231" s="165" t="n">
        <v>5</v>
      </c>
      <c r="J231" s="165" t="n">
        <v>5</v>
      </c>
      <c r="K231" s="166" t="n">
        <v>10225.1</v>
      </c>
      <c r="L231" s="166" t="n">
        <f aca="false">M231+N231</f>
        <v>5990.8</v>
      </c>
      <c r="M231" s="166" t="n">
        <f aca="false">5167.21+823.59</f>
        <v>5990.8</v>
      </c>
      <c r="N231" s="167"/>
      <c r="O231" s="238" t="n">
        <v>14</v>
      </c>
      <c r="P231" s="166" t="n">
        <v>14903.5</v>
      </c>
      <c r="Q231" s="166" t="n">
        <f aca="false">R231+S231</f>
        <v>14903.5</v>
      </c>
      <c r="R231" s="166" t="n">
        <f aca="false">14903.5</f>
        <v>14903.5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266" t="s">
        <v>287</v>
      </c>
      <c r="C232" s="200" t="s">
        <v>20</v>
      </c>
      <c r="D232" s="266"/>
      <c r="E232" s="200" t="s">
        <v>25</v>
      </c>
      <c r="F232" s="267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266"/>
      <c r="C233" s="266"/>
      <c r="D233" s="266"/>
      <c r="E233" s="266"/>
      <c r="F233" s="218" t="s">
        <v>288</v>
      </c>
      <c r="G233" s="152" t="s">
        <v>26</v>
      </c>
      <c r="H233" s="176" t="n">
        <v>10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188" t="s">
        <v>143</v>
      </c>
      <c r="C234" s="188" t="s">
        <v>20</v>
      </c>
      <c r="D234" s="188"/>
      <c r="E234" s="188" t="s">
        <v>25</v>
      </c>
      <c r="F234" s="268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188"/>
      <c r="C235" s="188"/>
      <c r="D235" s="188"/>
      <c r="E235" s="188"/>
      <c r="F235" s="52" t="s">
        <v>217</v>
      </c>
      <c r="G235" s="164" t="s">
        <v>26</v>
      </c>
      <c r="H235" s="171" t="n">
        <v>9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266" t="s">
        <v>144</v>
      </c>
      <c r="C236" s="266" t="s">
        <v>20</v>
      </c>
      <c r="D236" s="266"/>
      <c r="E236" s="266" t="s">
        <v>81</v>
      </c>
      <c r="F236" s="267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266"/>
      <c r="C237" s="266"/>
      <c r="D237" s="266"/>
      <c r="E237" s="266"/>
      <c r="F237" s="218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188" t="s">
        <v>145</v>
      </c>
      <c r="C238" s="188" t="s">
        <v>20</v>
      </c>
      <c r="D238" s="188"/>
      <c r="E238" s="188" t="s">
        <v>98</v>
      </c>
      <c r="F238" s="268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188"/>
      <c r="C239" s="188"/>
      <c r="D239" s="188"/>
      <c r="E239" s="188"/>
      <c r="F239" s="272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266" t="s">
        <v>146</v>
      </c>
      <c r="C240" s="266" t="s">
        <v>20</v>
      </c>
      <c r="D240" s="266"/>
      <c r="E240" s="266" t="s">
        <v>25</v>
      </c>
      <c r="F240" s="193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16027.46</v>
      </c>
      <c r="M240" s="149" t="n">
        <v>13677.7</v>
      </c>
      <c r="N240" s="190" t="n">
        <v>2349.76</v>
      </c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266"/>
      <c r="C241" s="266"/>
      <c r="D241" s="266"/>
      <c r="E241" s="266"/>
      <c r="F241" s="52" t="s">
        <v>219</v>
      </c>
      <c r="G241" s="164" t="s">
        <v>26</v>
      </c>
      <c r="H241" s="178" t="n">
        <v>6</v>
      </c>
      <c r="I241" s="165" t="n">
        <v>5</v>
      </c>
      <c r="J241" s="165" t="n">
        <v>5</v>
      </c>
      <c r="K241" s="166" t="n">
        <v>9225.65</v>
      </c>
      <c r="L241" s="166" t="n">
        <f aca="false">M241+N241</f>
        <v>3150.65</v>
      </c>
      <c r="M241" s="166" t="n">
        <f aca="false">3150.65</f>
        <v>3150.65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266" t="s">
        <v>289</v>
      </c>
      <c r="C242" s="266"/>
      <c r="D242" s="266"/>
      <c r="E242" s="266"/>
      <c r="F242" s="267"/>
      <c r="G242" s="146" t="s">
        <v>22</v>
      </c>
      <c r="H242" s="173" t="n">
        <v>7</v>
      </c>
      <c r="I242" s="148" t="n">
        <v>6</v>
      </c>
      <c r="J242" s="148" t="n">
        <v>11</v>
      </c>
      <c r="K242" s="149" t="n">
        <v>13013.88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270"/>
      <c r="G243" s="152" t="s">
        <v>23</v>
      </c>
      <c r="H243" s="174" t="n">
        <v>4</v>
      </c>
      <c r="I243" s="154" t="n">
        <v>2</v>
      </c>
      <c r="J243" s="154" t="n">
        <v>2</v>
      </c>
      <c r="K243" s="155" t="n">
        <v>3614.54</v>
      </c>
      <c r="L243" s="155" t="n">
        <v>2325.84</v>
      </c>
      <c r="M243" s="155" t="n">
        <v>2325.84</v>
      </c>
      <c r="N243" s="226" t="n">
        <v>1288.7</v>
      </c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200" t="s">
        <v>147</v>
      </c>
      <c r="C244" s="200" t="s">
        <v>20</v>
      </c>
      <c r="D244" s="200"/>
      <c r="E244" s="200" t="s">
        <v>25</v>
      </c>
      <c r="F244" s="271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200"/>
      <c r="C245" s="200"/>
      <c r="D245" s="200"/>
      <c r="E245" s="200"/>
      <c r="F245" s="52" t="s">
        <v>220</v>
      </c>
      <c r="G245" s="164" t="s">
        <v>26</v>
      </c>
      <c r="H245" s="172" t="n">
        <v>12</v>
      </c>
      <c r="I245" s="165" t="n">
        <v>6</v>
      </c>
      <c r="J245" s="165" t="n">
        <v>7</v>
      </c>
      <c r="K245" s="166" t="n">
        <v>17440.6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266" t="s">
        <v>297</v>
      </c>
      <c r="C246" s="266"/>
      <c r="D246" s="266"/>
      <c r="E246" s="266" t="s">
        <v>25</v>
      </c>
      <c r="F246" s="193"/>
      <c r="G246" s="146" t="s">
        <v>22</v>
      </c>
      <c r="H246" s="173" t="n">
        <v>4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266"/>
      <c r="C247" s="266"/>
      <c r="D247" s="266"/>
      <c r="E247" s="266"/>
      <c r="F247" s="218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200" t="s">
        <v>148</v>
      </c>
      <c r="C248" s="200" t="s">
        <v>20</v>
      </c>
      <c r="D248" s="200"/>
      <c r="E248" s="200" t="s">
        <v>21</v>
      </c>
      <c r="F248" s="192"/>
      <c r="G248" s="158" t="s">
        <v>22</v>
      </c>
      <c r="H248" s="159" t="n">
        <v>4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200"/>
      <c r="C249" s="200"/>
      <c r="D249" s="200"/>
      <c r="E249" s="200"/>
      <c r="F249" s="218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2408</v>
      </c>
      <c r="I250" s="214" t="n">
        <f aca="false">SUM(I9:I249)</f>
        <v>1541</v>
      </c>
      <c r="J250" s="214" t="n">
        <f aca="false">SUM(J9:J249)</f>
        <v>1866</v>
      </c>
      <c r="K250" s="215" t="n">
        <f aca="false">SUM(K9:K249)</f>
        <v>3292184.44</v>
      </c>
      <c r="L250" s="215" t="n">
        <f aca="false">SUM(L9:L249)</f>
        <v>2491322.75</v>
      </c>
      <c r="M250" s="215" t="n">
        <f aca="false">SUM(M9:M249)</f>
        <v>2407387.23</v>
      </c>
      <c r="N250" s="243" t="n">
        <f aca="false">SUM(N9:N249)</f>
        <v>108642.62</v>
      </c>
      <c r="O250" s="244" t="n">
        <f aca="false">SUM(O9:O249)</f>
        <v>1177</v>
      </c>
      <c r="P250" s="245" t="n">
        <f aca="false">SUM(P9:P249)</f>
        <v>4393720.03</v>
      </c>
      <c r="Q250" s="245" t="n">
        <f aca="false">SUM(Q9:Q249)</f>
        <v>3999111.64</v>
      </c>
      <c r="R250" s="245" t="n">
        <f aca="false">SUM(R9:R249)</f>
        <v>3977973.99</v>
      </c>
      <c r="S250" s="246" t="n">
        <f aca="false">SUM(S9:S249)</f>
        <v>34306.7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1632</v>
      </c>
      <c r="H256" s="108" t="n">
        <f aca="false">SUMIF($G$9:$G$249,$F$256,I9:I249)</f>
        <v>1173</v>
      </c>
      <c r="I256" s="108" t="n">
        <f aca="false">SUMIF($G$9:$G$249,$F$256,J9:J249)</f>
        <v>1494</v>
      </c>
      <c r="J256" s="110" t="n">
        <f aca="false">SUMIF($G$9:$G$249,F256,$K$9:$K$249)</f>
        <v>2664698.2</v>
      </c>
      <c r="K256" s="110" t="n">
        <f aca="false">SUMIF($G$9:$G$249,$F$256,L9:L249)</f>
        <v>2004362.32</v>
      </c>
      <c r="L256" s="110" t="n">
        <f aca="false">SUMIF($G$9:$G$249,$F$256,M9:M249)</f>
        <v>1935117.49</v>
      </c>
      <c r="M256" s="110" t="n">
        <f aca="false">SUMIF($G$9:$G$249,$F$256,N9:N249)</f>
        <v>69244.83</v>
      </c>
      <c r="N256" s="108" t="n">
        <f aca="false">SUMIF($G$9:$G$249,$F$256,O9:O249)</f>
        <v>796</v>
      </c>
      <c r="O256" s="110" t="n">
        <f aca="false">SUMIF($G$9:$G$249,F256,$P$9:$P$249)</f>
        <v>3383537.14</v>
      </c>
      <c r="P256" s="110" t="n">
        <f aca="false">SUMIF($G$9:$G$249,$F$256,Q9:Q249)</f>
        <v>3006105.26</v>
      </c>
      <c r="Q256" s="110" t="n">
        <f aca="false">SUMIF($G$9:$G$249,$F$256,R9:R249)</f>
        <v>2977235.41</v>
      </c>
      <c r="R256" s="110" t="n">
        <f aca="false">SUMIF($G$9:$G$249,$F$256,S9:S249)</f>
        <v>28869.85</v>
      </c>
      <c r="S256" s="110" t="n">
        <f aca="false">Q256+L256</f>
        <v>4912352.9</v>
      </c>
      <c r="T256" s="111" t="n">
        <f aca="false">J256-L256+O256-Q256</f>
        <v>1135882.44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505</v>
      </c>
      <c r="H257" s="108" t="n">
        <f aca="false">SUMIF($G$9:$G$249,$F$257,I9:I249)</f>
        <v>212</v>
      </c>
      <c r="I257" s="108" t="n">
        <f aca="false">SUMIF($G$9:$G$249,$F$257,J9:J249)</f>
        <v>216</v>
      </c>
      <c r="J257" s="110" t="n">
        <f aca="false">SUMIF($G$9:$G$249,F257,$K$9:$K$249)</f>
        <v>425479.14</v>
      </c>
      <c r="K257" s="110" t="n">
        <f aca="false">SUMIF($G$9:$G$249,$F$257,L9:L249)</f>
        <v>309665.93</v>
      </c>
      <c r="L257" s="110" t="n">
        <f aca="false">SUMIF($G$9:$G$249,$F$257,M9:M249)</f>
        <v>295734.65</v>
      </c>
      <c r="M257" s="110" t="n">
        <f aca="false">SUMIF($G$9:$G$249,$F$257,N9:N249)</f>
        <v>13925.78</v>
      </c>
      <c r="N257" s="108" t="n">
        <f aca="false">SUMIF($G$9:$G$249,$F$257,O9:O249)</f>
        <v>278</v>
      </c>
      <c r="O257" s="110" t="n">
        <f aca="false">SUMIF($G$9:$G$249,F257,$P$9:$P$249)</f>
        <v>789945.29</v>
      </c>
      <c r="P257" s="110" t="n">
        <f aca="false">SUMIF($G$9:$G$249,$F$257,Q9:Q249)</f>
        <v>778205.63</v>
      </c>
      <c r="Q257" s="110" t="n">
        <f aca="false">SUMIF($G$9:$G$249,$F$257,R9:R249)</f>
        <v>785937.83</v>
      </c>
      <c r="R257" s="110" t="n">
        <f aca="false">SUMIF($G$9:$G$249,$F$257,S9:S249)</f>
        <v>0</v>
      </c>
      <c r="S257" s="110" t="n">
        <f aca="false">Q257+L257</f>
        <v>1081672.48</v>
      </c>
      <c r="T257" s="111" t="n">
        <f aca="false">J257-L257+O257-Q257</f>
        <v>133751.95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271</v>
      </c>
      <c r="H258" s="108" t="n">
        <f aca="false">SUMIF($G$9:$G$249,$F$258,I9:I249)</f>
        <v>156</v>
      </c>
      <c r="I258" s="108" t="n">
        <f aca="false">SUMIF($G$9:$G$249,$F$258,J9:J249)</f>
        <v>156</v>
      </c>
      <c r="J258" s="110" t="n">
        <f aca="false">SUMIF($G$9:$G$249,F258,$K$9:$K$249)</f>
        <v>202007.1</v>
      </c>
      <c r="K258" s="110" t="n">
        <f aca="false">SUMIF($G$9:$G$249,$F$258,L9:L249)</f>
        <v>177294.5</v>
      </c>
      <c r="L258" s="110" t="n">
        <f aca="false">SUMIF($G$9:$G$249,$F$258,M9:M249)</f>
        <v>176535.09</v>
      </c>
      <c r="M258" s="110" t="n">
        <f aca="false">SUMIF($G$9:$G$249,$F$258,N9:N249)</f>
        <v>25472.01</v>
      </c>
      <c r="N258" s="108" t="n">
        <f aca="false">SUMIF($G$9:$G$249,$F$258,O9:O249)</f>
        <v>103</v>
      </c>
      <c r="O258" s="110" t="n">
        <f aca="false">SUMIF($G$9:$G$249,F258,$P$9:$P$249)</f>
        <v>220237.6</v>
      </c>
      <c r="P258" s="110" t="n">
        <f aca="false">SUMIF($G$9:$G$249,$F$258,Q9:Q249)</f>
        <v>214800.75</v>
      </c>
      <c r="Q258" s="110" t="n">
        <f aca="false">SUMIF($G$9:$G$249,$F$258,R9:R249)</f>
        <v>214800.75</v>
      </c>
      <c r="R258" s="110" t="n">
        <f aca="false">SUMIF($G$9:$G$249,$F$258,S9:S249)</f>
        <v>5436.85</v>
      </c>
      <c r="S258" s="110" t="n">
        <f aca="false">Q258+L258</f>
        <v>391335.84</v>
      </c>
      <c r="T258" s="111" t="n">
        <f aca="false">J258-L258+O258-Q258</f>
        <v>30908.86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2408</v>
      </c>
      <c r="H259" s="216" t="n">
        <f aca="false">H258+H257+H256</f>
        <v>1541</v>
      </c>
      <c r="I259" s="216" t="n">
        <f aca="false">I258+I257+I256</f>
        <v>1866</v>
      </c>
      <c r="J259" s="217" t="n">
        <f aca="false">J258+J257+J256</f>
        <v>3292184.44</v>
      </c>
      <c r="K259" s="217" t="n">
        <f aca="false">K258+K257+K256</f>
        <v>2491322.75</v>
      </c>
      <c r="L259" s="217" t="n">
        <f aca="false">L258+L257+L256</f>
        <v>2407387.23</v>
      </c>
      <c r="M259" s="217" t="n">
        <f aca="false">M258+M257+M256</f>
        <v>108642.62</v>
      </c>
      <c r="N259" s="216" t="n">
        <f aca="false">N258+N257+N256</f>
        <v>1177</v>
      </c>
      <c r="O259" s="217" t="n">
        <f aca="false">O258+O257+O256</f>
        <v>4393720.03</v>
      </c>
      <c r="P259" s="217" t="n">
        <f aca="false">P258+P257+P256</f>
        <v>3999111.64</v>
      </c>
      <c r="Q259" s="217" t="n">
        <f aca="false">Q258+Q257+Q256</f>
        <v>3977973.99</v>
      </c>
      <c r="R259" s="217" t="n">
        <f aca="false">R258+R257+R256</f>
        <v>34306.7</v>
      </c>
      <c r="S259" s="217" t="n">
        <f aca="false">S258+S257+S256</f>
        <v>6385361.22</v>
      </c>
      <c r="T259" s="217" t="n">
        <f aca="false">T258+T257+T256</f>
        <v>1300543.25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1614</v>
      </c>
      <c r="H320" s="247" t="n">
        <v>1149</v>
      </c>
      <c r="I320" s="247" t="n">
        <v>1454</v>
      </c>
      <c r="J320" s="0" t="n">
        <v>2584413.99</v>
      </c>
      <c r="K320" s="236"/>
      <c r="N320" s="0" t="n">
        <v>793</v>
      </c>
      <c r="O320" s="0" t="n">
        <v>3375396.24</v>
      </c>
    </row>
    <row r="321" customFormat="false" ht="15" hidden="false" customHeight="false" outlineLevel="0" collapsed="false">
      <c r="G321" s="221" t="n">
        <f aca="false">G256-G320</f>
        <v>18</v>
      </c>
      <c r="H321" s="221" t="n">
        <f aca="false">H256-H320</f>
        <v>24</v>
      </c>
      <c r="I321" s="221" t="n">
        <f aca="false">I256-I320</f>
        <v>40</v>
      </c>
      <c r="J321" s="229" t="n">
        <f aca="false">J256-J320</f>
        <v>80284.2099999995</v>
      </c>
      <c r="K321" s="236"/>
      <c r="N321" s="221" t="n">
        <f aca="false">N256-N320</f>
        <v>3</v>
      </c>
      <c r="O321" s="229" t="n">
        <f aca="false">O256-O320</f>
        <v>8140.90000000084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1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2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28</v>
      </c>
      <c r="I11" s="160" t="n">
        <v>20</v>
      </c>
      <c r="J11" s="160" t="n">
        <v>35</v>
      </c>
      <c r="K11" s="161" t="n">
        <v>76881.26</v>
      </c>
      <c r="L11" s="161" t="n">
        <f aca="false">M11+N11</f>
        <v>71801.93</v>
      </c>
      <c r="M11" s="161" t="n">
        <v>71801.93</v>
      </c>
      <c r="N11" s="239"/>
      <c r="O11" s="151" t="n">
        <v>10</v>
      </c>
      <c r="P11" s="149" t="n">
        <v>44135.02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7</v>
      </c>
      <c r="I12" s="165" t="n">
        <v>1</v>
      </c>
      <c r="J12" s="165" t="n">
        <v>1</v>
      </c>
      <c r="K12" s="166" t="n">
        <v>1841</v>
      </c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37</v>
      </c>
      <c r="I13" s="148" t="n">
        <v>29</v>
      </c>
      <c r="J13" s="148" t="n">
        <v>45</v>
      </c>
      <c r="K13" s="149" t="n">
        <v>73002.61</v>
      </c>
      <c r="L13" s="149" t="n">
        <f aca="false">M13+N13</f>
        <v>53490.39</v>
      </c>
      <c r="M13" s="149" t="n">
        <v>53490.39</v>
      </c>
      <c r="N13" s="249"/>
      <c r="O13" s="228" t="n">
        <v>7</v>
      </c>
      <c r="P13" s="161" t="n">
        <v>21729.06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6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4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17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6</v>
      </c>
      <c r="J20" s="154" t="n">
        <v>6</v>
      </c>
      <c r="K20" s="155" t="n">
        <v>4485</v>
      </c>
      <c r="L20" s="155" t="n">
        <f aca="false">M20+N20</f>
        <v>4643.1</v>
      </c>
      <c r="M20" s="155" t="n">
        <f aca="false">2986.2+1656.9</f>
        <v>4643.1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22</v>
      </c>
      <c r="I21" s="160" t="n">
        <v>17</v>
      </c>
      <c r="J21" s="160" t="n">
        <v>23</v>
      </c>
      <c r="K21" s="161" t="n">
        <v>30113.95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3</v>
      </c>
      <c r="I22" s="154" t="n">
        <v>2</v>
      </c>
      <c r="J22" s="154" t="n">
        <v>2</v>
      </c>
      <c r="K22" s="155" t="n">
        <v>2866.6</v>
      </c>
      <c r="L22" s="155" t="n">
        <f aca="false">M22+N22</f>
        <v>1104.6</v>
      </c>
      <c r="M22" s="155" t="n">
        <f aca="false">1104.6</f>
        <v>1104.6</v>
      </c>
      <c r="N22" s="156"/>
      <c r="O22" s="157" t="n">
        <v>4</v>
      </c>
      <c r="P22" s="155" t="n">
        <v>4052.6</v>
      </c>
      <c r="Q22" s="155" t="n">
        <f aca="false">R22+S22</f>
        <v>4052.6</v>
      </c>
      <c r="R22" s="155" t="n">
        <f aca="false">4052.6</f>
        <v>4052.6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30</v>
      </c>
      <c r="I23" s="160" t="n">
        <v>25</v>
      </c>
      <c r="J23" s="160" t="n">
        <v>41</v>
      </c>
      <c r="K23" s="161" t="n">
        <v>59451.25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28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7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27</v>
      </c>
      <c r="I27" s="160" t="n">
        <v>25</v>
      </c>
      <c r="J27" s="160" t="n">
        <v>40</v>
      </c>
      <c r="K27" s="161" t="n">
        <v>75002.91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5</v>
      </c>
      <c r="J28" s="165" t="n">
        <v>5</v>
      </c>
      <c r="K28" s="166" t="n">
        <v>5336.15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14</v>
      </c>
      <c r="P28" s="155" t="n">
        <v>35550.2</v>
      </c>
      <c r="Q28" s="155" t="n">
        <v>35550.2</v>
      </c>
      <c r="R28" s="155" t="n">
        <f aca="false">37943.5</f>
        <v>37943.5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10</v>
      </c>
      <c r="I33" s="160" t="n">
        <v>4</v>
      </c>
      <c r="J33" s="160" t="n">
        <v>5</v>
      </c>
      <c r="K33" s="161" t="n">
        <v>11806.61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4</v>
      </c>
      <c r="J34" s="165" t="n">
        <v>4</v>
      </c>
      <c r="K34" s="166" t="n">
        <v>9718.14</v>
      </c>
      <c r="L34" s="166" t="n">
        <v>7693.04</v>
      </c>
      <c r="M34" s="166" t="n">
        <v>7693.04</v>
      </c>
      <c r="N34" s="167" t="n">
        <v>2025.1</v>
      </c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22</v>
      </c>
      <c r="I43" s="160" t="n">
        <v>16</v>
      </c>
      <c r="J43" s="160" t="n">
        <v>22</v>
      </c>
      <c r="K43" s="161" t="n">
        <v>47687.33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2209.2</v>
      </c>
      <c r="M46" s="166" t="n">
        <f aca="false">2209.2</f>
        <v>2209.2</v>
      </c>
      <c r="N46" s="156"/>
      <c r="O46" s="168" t="n">
        <v>8</v>
      </c>
      <c r="P46" s="166" t="n">
        <v>19654.4</v>
      </c>
      <c r="Q46" s="149" t="n">
        <f aca="false">R46+S46</f>
        <v>36186.09</v>
      </c>
      <c r="R46" s="166" t="n">
        <f aca="false">19654.4+16319.08+212.61</f>
        <v>36186.09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5885.08</v>
      </c>
      <c r="M48" s="155" t="n">
        <f aca="false">5885.08</f>
        <v>5885.08</v>
      </c>
      <c r="N48" s="156"/>
      <c r="O48" s="157" t="n">
        <v>7</v>
      </c>
      <c r="P48" s="155" t="n">
        <v>17663.63</v>
      </c>
      <c r="Q48" s="155" t="n">
        <f aca="false">R48+S48</f>
        <v>18952.33</v>
      </c>
      <c r="R48" s="155" t="n">
        <f aca="false">16697.1+966.53+1288.7</f>
        <v>18952.33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60</v>
      </c>
      <c r="I53" s="148" t="n">
        <v>53</v>
      </c>
      <c r="J53" s="148" t="n">
        <v>56</v>
      </c>
      <c r="K53" s="149" t="n">
        <v>77229.87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8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39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47432.28</v>
      </c>
      <c r="M55" s="161" t="n">
        <v>47432.28</v>
      </c>
      <c r="N55" s="190"/>
      <c r="O55" s="151" t="n">
        <v>22</v>
      </c>
      <c r="P55" s="149" t="n">
        <v>82722.68</v>
      </c>
      <c r="Q55" s="149" t="n">
        <f aca="false">R55+S55</f>
        <v>75641.71</v>
      </c>
      <c r="R55" s="149" t="n">
        <v>75641.71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9</v>
      </c>
      <c r="I57" s="160" t="n">
        <v>6</v>
      </c>
      <c r="J57" s="160" t="n">
        <v>8</v>
      </c>
      <c r="K57" s="161" t="n">
        <v>19321.5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9</v>
      </c>
      <c r="P58" s="166" t="n">
        <v>31036.19</v>
      </c>
      <c r="Q58" s="189" t="n">
        <v>25697.29</v>
      </c>
      <c r="R58" s="166" t="n">
        <f aca="false">18120.69+12915.5-4928.17+4928.17</f>
        <v>31036.19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8</v>
      </c>
      <c r="I59" s="148" t="n">
        <v>5</v>
      </c>
      <c r="J59" s="148" t="n">
        <v>7</v>
      </c>
      <c r="K59" s="149" t="n">
        <v>19614.06</v>
      </c>
      <c r="L59" s="149" t="n">
        <f aca="false">M59+N59</f>
        <v>0</v>
      </c>
      <c r="M59" s="149"/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9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7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9</v>
      </c>
      <c r="I63" s="148" t="n">
        <v>4</v>
      </c>
      <c r="J63" s="148" t="n">
        <v>4</v>
      </c>
      <c r="K63" s="149" t="n">
        <v>1638.66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8</v>
      </c>
      <c r="I64" s="154" t="n">
        <v>4</v>
      </c>
      <c r="J64" s="154" t="n">
        <v>4</v>
      </c>
      <c r="K64" s="155" t="n">
        <v>6783.7</v>
      </c>
      <c r="L64" s="155" t="n">
        <f aca="false">M64+N64</f>
        <v>5286</v>
      </c>
      <c r="M64" s="155" t="n">
        <f aca="false">5286</f>
        <v>5286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16</v>
      </c>
      <c r="J65" s="160" t="n">
        <v>20</v>
      </c>
      <c r="K65" s="161" t="n">
        <v>38491.65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9</v>
      </c>
      <c r="J67" s="148" t="n">
        <v>13</v>
      </c>
      <c r="K67" s="149" t="n">
        <v>27655.63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10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31</v>
      </c>
      <c r="I71" s="148" t="n">
        <v>24</v>
      </c>
      <c r="J71" s="148" t="n">
        <v>31</v>
      </c>
      <c r="K71" s="149" t="n">
        <v>65336.13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39</v>
      </c>
      <c r="I73" s="160" t="n">
        <v>27</v>
      </c>
      <c r="J73" s="160" t="n">
        <v>35</v>
      </c>
      <c r="K73" s="161" t="n">
        <v>74580.45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1771.96</v>
      </c>
      <c r="N74" s="156" t="n">
        <v>1288.7</v>
      </c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18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17</v>
      </c>
      <c r="I81" s="148" t="n">
        <v>9</v>
      </c>
      <c r="J81" s="148" t="n">
        <v>9</v>
      </c>
      <c r="K81" s="149" t="n">
        <v>32053.43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24396.22</v>
      </c>
      <c r="M82" s="155" t="n">
        <v>24396.22</v>
      </c>
      <c r="N82" s="156" t="n">
        <v>1012.55</v>
      </c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5123.54</v>
      </c>
      <c r="R83" s="161" t="n">
        <v>5123.54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3171.6</v>
      </c>
      <c r="Q84" s="166" t="n">
        <f aca="false">R84+S84</f>
        <v>2907.3</v>
      </c>
      <c r="R84" s="166" t="n">
        <f aca="false">2907.3</f>
        <v>2907.3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10</v>
      </c>
      <c r="P85" s="149" t="n">
        <v>30652.75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13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45595.17</v>
      </c>
      <c r="R89" s="149" t="n">
        <v>45595.17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40</v>
      </c>
      <c r="I90" s="165" t="n">
        <v>38</v>
      </c>
      <c r="J90" s="165" t="n">
        <v>38</v>
      </c>
      <c r="K90" s="166" t="n">
        <v>45200.1</v>
      </c>
      <c r="L90" s="166" t="n">
        <v>42806.8</v>
      </c>
      <c r="M90" s="166" t="n">
        <v>42806.8</v>
      </c>
      <c r="N90" s="156" t="n">
        <v>2393.3</v>
      </c>
      <c r="O90" s="168" t="n">
        <v>39</v>
      </c>
      <c r="P90" s="166" t="n">
        <v>76616.97</v>
      </c>
      <c r="Q90" s="166" t="n">
        <v>74775.97</v>
      </c>
      <c r="R90" s="166" t="n">
        <v>74775.97</v>
      </c>
      <c r="S90" s="156" t="n">
        <v>552.3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8</v>
      </c>
      <c r="I91" s="148" t="n">
        <v>6</v>
      </c>
      <c r="J91" s="148" t="n">
        <v>7</v>
      </c>
      <c r="K91" s="149" t="n">
        <v>10742.58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10</v>
      </c>
      <c r="I92" s="165" t="n">
        <v>6</v>
      </c>
      <c r="J92" s="165" t="n">
        <v>6</v>
      </c>
      <c r="K92" s="166" t="n">
        <v>10154</v>
      </c>
      <c r="L92" s="166" t="n">
        <f aca="false">M92+N92</f>
        <v>8865.3</v>
      </c>
      <c r="M92" s="166" t="n">
        <f aca="false">8865.3</f>
        <v>8865.3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15</v>
      </c>
      <c r="I93" s="148" t="n">
        <v>8</v>
      </c>
      <c r="J93" s="148" t="n">
        <v>10</v>
      </c>
      <c r="K93" s="149" t="n">
        <v>20921.1</v>
      </c>
      <c r="L93" s="149" t="n">
        <f aca="false">M93+N93</f>
        <v>17007.72</v>
      </c>
      <c r="M93" s="149" t="n">
        <v>17007.72</v>
      </c>
      <c r="N93" s="190"/>
      <c r="O93" s="151" t="n">
        <v>15</v>
      </c>
      <c r="P93" s="149" t="n">
        <v>48957.86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7836.01</v>
      </c>
      <c r="R95" s="161" t="n">
        <v>7836.01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12</v>
      </c>
      <c r="I97" s="160" t="n">
        <v>9</v>
      </c>
      <c r="J97" s="160" t="n">
        <v>13</v>
      </c>
      <c r="K97" s="161" t="n">
        <v>22159.57</v>
      </c>
      <c r="L97" s="161" t="n">
        <f aca="false">M97+N97</f>
        <v>11231.55</v>
      </c>
      <c r="M97" s="161" t="n">
        <v>11231.55</v>
      </c>
      <c r="N97" s="190"/>
      <c r="O97" s="163" t="n">
        <v>9</v>
      </c>
      <c r="P97" s="161" t="n">
        <v>62858.94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3042.8</v>
      </c>
      <c r="M98" s="166" t="n">
        <v>3042.8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34</v>
      </c>
      <c r="I101" s="160" t="n">
        <v>28</v>
      </c>
      <c r="J101" s="160" t="n">
        <v>32</v>
      </c>
      <c r="K101" s="161" t="n">
        <v>63185.25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8</v>
      </c>
      <c r="P102" s="166" t="n">
        <v>23170.3</v>
      </c>
      <c r="Q102" s="166" t="n">
        <f aca="false">R102+S102</f>
        <v>28929.2</v>
      </c>
      <c r="R102" s="166" t="n">
        <f aca="false">21936.9+1233.4+5758.9</f>
        <v>28929.2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24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12723.15</v>
      </c>
      <c r="M103" s="149" t="n">
        <v>12723.15</v>
      </c>
      <c r="N103" s="190"/>
      <c r="O103" s="151" t="n">
        <v>3</v>
      </c>
      <c r="P103" s="149" t="n">
        <v>18333.88</v>
      </c>
      <c r="Q103" s="149" t="n">
        <f aca="false">R103+S103</f>
        <v>12380.09</v>
      </c>
      <c r="R103" s="149" t="n">
        <v>12380.09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7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13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10</v>
      </c>
      <c r="P105" s="149" t="n">
        <v>50989.25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9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10</v>
      </c>
      <c r="I108" s="160" t="n">
        <v>6</v>
      </c>
      <c r="J108" s="160" t="n">
        <v>8</v>
      </c>
      <c r="K108" s="161" t="n">
        <v>16525.47</v>
      </c>
      <c r="L108" s="161" t="n">
        <f aca="false">M108+N108</f>
        <v>11123.42</v>
      </c>
      <c r="M108" s="161" t="n">
        <v>11123.42</v>
      </c>
      <c r="N108" s="190"/>
      <c r="O108" s="163" t="n">
        <v>11</v>
      </c>
      <c r="P108" s="161" t="n">
        <v>40851.54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9</v>
      </c>
      <c r="I110" s="148" t="n">
        <v>6</v>
      </c>
      <c r="J110" s="148" t="n">
        <v>8</v>
      </c>
      <c r="K110" s="149" t="n">
        <v>10898.87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34</v>
      </c>
      <c r="I112" s="148" t="n">
        <v>30</v>
      </c>
      <c r="J112" s="148" t="n">
        <v>40</v>
      </c>
      <c r="K112" s="149" t="n">
        <v>55761.11</v>
      </c>
      <c r="L112" s="149" t="n">
        <f aca="false">M112+N112</f>
        <v>41314.16</v>
      </c>
      <c r="M112" s="149" t="n">
        <v>41314.16</v>
      </c>
      <c r="N112" s="190"/>
      <c r="O112" s="151" t="n">
        <v>4</v>
      </c>
      <c r="P112" s="149" t="n">
        <v>24038.93</v>
      </c>
      <c r="Q112" s="149" t="n">
        <f aca="false">R112+S112</f>
        <v>16087.08</v>
      </c>
      <c r="R112" s="149" t="n">
        <v>16087.08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6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9995.15</v>
      </c>
      <c r="M113" s="166" t="n">
        <f aca="false">6957.5+828.45+2209.2</f>
        <v>9995.15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16</v>
      </c>
      <c r="I116" s="160" t="n">
        <v>10</v>
      </c>
      <c r="J116" s="160" t="n">
        <v>11</v>
      </c>
      <c r="K116" s="161" t="n">
        <v>11822.95</v>
      </c>
      <c r="L116" s="161" t="n">
        <f aca="false">M116+N116</f>
        <v>9100.55</v>
      </c>
      <c r="M116" s="161" t="n">
        <v>9100.55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35</v>
      </c>
      <c r="I118" s="160" t="n">
        <v>28</v>
      </c>
      <c r="J118" s="160" t="n">
        <v>40</v>
      </c>
      <c r="K118" s="161" t="n">
        <v>77493.29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42</v>
      </c>
      <c r="I122" s="148" t="n">
        <v>27</v>
      </c>
      <c r="J122" s="148" t="n">
        <v>34</v>
      </c>
      <c r="K122" s="149" t="n">
        <v>41545.36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28</v>
      </c>
      <c r="I123" s="165" t="n">
        <v>18</v>
      </c>
      <c r="J123" s="165" t="n">
        <v>18</v>
      </c>
      <c r="K123" s="166" t="n">
        <v>18912.49</v>
      </c>
      <c r="L123" s="166" t="n">
        <v>18912.49</v>
      </c>
      <c r="M123" s="166" t="n">
        <v>18912.49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30</v>
      </c>
      <c r="I124" s="148" t="n">
        <v>21</v>
      </c>
      <c r="J124" s="148" t="n">
        <v>30</v>
      </c>
      <c r="K124" s="149" t="n">
        <v>132028.45</v>
      </c>
      <c r="L124" s="149" t="n">
        <f aca="false">M124+N124</f>
        <v>78634.92</v>
      </c>
      <c r="M124" s="149" t="n">
        <v>78634.92</v>
      </c>
      <c r="N124" s="190"/>
      <c r="O124" s="151" t="n">
        <v>22</v>
      </c>
      <c r="P124" s="149" t="n">
        <v>74402.24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39</v>
      </c>
      <c r="I126" s="160" t="n">
        <v>18</v>
      </c>
      <c r="J126" s="160" t="n">
        <v>20</v>
      </c>
      <c r="K126" s="161" t="n">
        <v>71054.41</v>
      </c>
      <c r="L126" s="161" t="n">
        <f aca="false">M126+N126</f>
        <v>33685.02</v>
      </c>
      <c r="M126" s="161" t="n">
        <v>33685.02</v>
      </c>
      <c r="N126" s="190"/>
      <c r="O126" s="163" t="n">
        <v>22</v>
      </c>
      <c r="P126" s="161" t="n">
        <v>156279.23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1938.2</v>
      </c>
      <c r="M132" s="155" t="n">
        <f aca="false">1938.2</f>
        <v>1938.2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9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16726.6</v>
      </c>
      <c r="M135" s="149" t="n">
        <v>16726.6</v>
      </c>
      <c r="N135" s="190"/>
      <c r="O135" s="151" t="n">
        <v>11</v>
      </c>
      <c r="P135" s="149" t="n">
        <v>46445.06</v>
      </c>
      <c r="Q135" s="149" t="n">
        <f aca="false">R135+S135</f>
        <v>39667.8</v>
      </c>
      <c r="R135" s="149" t="n">
        <v>39667.8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23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37</v>
      </c>
      <c r="I137" s="148" t="n">
        <v>29</v>
      </c>
      <c r="J137" s="148" t="n">
        <v>37</v>
      </c>
      <c r="K137" s="149" t="n">
        <v>96989.14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18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17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4228.8</v>
      </c>
      <c r="M143" s="182" t="n">
        <f aca="false">4228.8</f>
        <v>4228.8</v>
      </c>
      <c r="N143" s="167"/>
      <c r="O143" s="184" t="n">
        <v>4</v>
      </c>
      <c r="P143" s="182" t="n">
        <v>6607.5</v>
      </c>
      <c r="Q143" s="161" t="n">
        <f aca="false">R143+S143</f>
        <v>6607.5</v>
      </c>
      <c r="R143" s="182" t="n">
        <f aca="false">1673.9+3700.2+1233.4</f>
        <v>6607.5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9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8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24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9</v>
      </c>
      <c r="P147" s="161" t="n">
        <v>31735.04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8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11931.8</v>
      </c>
      <c r="R148" s="166" t="n">
        <f aca="false">11931.8</f>
        <v>11931.8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8</v>
      </c>
      <c r="I149" s="148" t="n">
        <v>5</v>
      </c>
      <c r="J149" s="148" t="n">
        <v>7</v>
      </c>
      <c r="K149" s="149" t="n">
        <v>14471.69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3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4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3</v>
      </c>
      <c r="I153" s="160" t="n">
        <v>1</v>
      </c>
      <c r="J153" s="160" t="n">
        <v>1</v>
      </c>
      <c r="K153" s="161" t="n">
        <v>21512.83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4</v>
      </c>
      <c r="J157" s="160" t="n">
        <v>5</v>
      </c>
      <c r="K157" s="161" t="n">
        <v>7292.31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1104.6</v>
      </c>
      <c r="L158" s="161" t="n">
        <f aca="false">M158+N158</f>
        <v>0</v>
      </c>
      <c r="M158" s="166" t="n">
        <v>0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14</v>
      </c>
      <c r="I159" s="148" t="n">
        <v>14</v>
      </c>
      <c r="J159" s="148" t="n">
        <v>17</v>
      </c>
      <c r="K159" s="149" t="n">
        <v>39506.71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31</v>
      </c>
      <c r="I161" s="148" t="n">
        <v>27</v>
      </c>
      <c r="J161" s="193" t="n">
        <v>33</v>
      </c>
      <c r="K161" s="149" t="n">
        <v>41438.77</v>
      </c>
      <c r="L161" s="149" t="n">
        <f aca="false">M161+N161</f>
        <v>37553.38</v>
      </c>
      <c r="M161" s="149" t="n">
        <v>37553.38</v>
      </c>
      <c r="N161" s="190"/>
      <c r="O161" s="163" t="n">
        <v>20</v>
      </c>
      <c r="P161" s="161" t="n">
        <v>138236.37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1472.8</v>
      </c>
      <c r="N164" s="156" t="n">
        <v>2393.3</v>
      </c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26</v>
      </c>
      <c r="I165" s="160" t="n">
        <v>25</v>
      </c>
      <c r="J165" s="160" t="n">
        <v>36</v>
      </c>
      <c r="K165" s="140" t="n">
        <v>90768.99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32741.22</v>
      </c>
      <c r="M167" s="149" t="n">
        <v>32741.22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0</v>
      </c>
      <c r="R169" s="161"/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22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16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7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1762</v>
      </c>
      <c r="M183" s="166" t="n">
        <f aca="false">1762</f>
        <v>1762</v>
      </c>
      <c r="N183" s="156"/>
      <c r="O183" s="168" t="n">
        <v>5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1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7</v>
      </c>
      <c r="I189" s="200" t="n">
        <v>4</v>
      </c>
      <c r="J189" s="200" t="n">
        <v>4</v>
      </c>
      <c r="K189" s="201" t="n">
        <v>6580.06</v>
      </c>
      <c r="L189" s="201" t="n">
        <f aca="false">M189+N189</f>
        <v>2945.6</v>
      </c>
      <c r="M189" s="201" t="n">
        <f aca="false">1104.6+1841</f>
        <v>2945.6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12950.7</v>
      </c>
      <c r="R191" s="166" t="n">
        <f aca="false">6959.9+5990.8</f>
        <v>12950.7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44</v>
      </c>
      <c r="I192" s="148" t="n">
        <v>43</v>
      </c>
      <c r="J192" s="148" t="n">
        <v>61</v>
      </c>
      <c r="K192" s="149" t="n">
        <v>95854.47</v>
      </c>
      <c r="L192" s="149" t="n">
        <f aca="false">M192+N192</f>
        <v>89688.59</v>
      </c>
      <c r="M192" s="149" t="n">
        <v>89688.59</v>
      </c>
      <c r="N192" s="190"/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4193.56</v>
      </c>
      <c r="M194" s="161" t="n">
        <v>4193.56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11</v>
      </c>
      <c r="I195" s="165" t="n">
        <v>6</v>
      </c>
      <c r="J195" s="165" t="n">
        <v>6</v>
      </c>
      <c r="K195" s="166" t="n">
        <v>8284.5</v>
      </c>
      <c r="L195" s="161" t="n">
        <f aca="false">M195+N195</f>
        <v>4602.5</v>
      </c>
      <c r="M195" s="166" t="n">
        <f aca="false">2761.5+1841</f>
        <v>4602.5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24</v>
      </c>
      <c r="I196" s="148" t="n">
        <v>15</v>
      </c>
      <c r="J196" s="148" t="n">
        <v>16</v>
      </c>
      <c r="K196" s="149" t="n">
        <v>27701.57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53</v>
      </c>
      <c r="I198" s="148" t="n">
        <v>37</v>
      </c>
      <c r="J198" s="148" t="n">
        <v>37</v>
      </c>
      <c r="K198" s="149" t="n">
        <v>43241.42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15</v>
      </c>
      <c r="I199" s="154" t="n">
        <v>11</v>
      </c>
      <c r="J199" s="154" t="n">
        <v>11</v>
      </c>
      <c r="K199" s="155" t="n">
        <v>12266.21</v>
      </c>
      <c r="L199" s="155" t="n">
        <f aca="false">M199+N199</f>
        <v>12266.21</v>
      </c>
      <c r="M199" s="155" t="n">
        <v>6375.01</v>
      </c>
      <c r="N199" s="156" t="n">
        <v>5891.2</v>
      </c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24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15</v>
      </c>
      <c r="J201" s="165" t="n">
        <v>15</v>
      </c>
      <c r="K201" s="166" t="n">
        <v>32666.09</v>
      </c>
      <c r="L201" s="166" t="n">
        <v>32666.09</v>
      </c>
      <c r="M201" s="166" t="n">
        <v>32666.09</v>
      </c>
      <c r="N201" s="156"/>
      <c r="O201" s="168" t="n">
        <v>18</v>
      </c>
      <c r="P201" s="166" t="n">
        <v>50780.62</v>
      </c>
      <c r="Q201" s="166" t="n">
        <v>44153.02</v>
      </c>
      <c r="R201" s="166" t="n">
        <v>44153.02</v>
      </c>
      <c r="S201" s="156" t="n">
        <v>6627.6</v>
      </c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29</v>
      </c>
      <c r="I202" s="148" t="n">
        <v>25</v>
      </c>
      <c r="J202" s="148" t="n">
        <v>30</v>
      </c>
      <c r="K202" s="149" t="n">
        <v>32113.06</v>
      </c>
      <c r="L202" s="149" t="n">
        <f aca="false">M202+N202</f>
        <v>23180.8</v>
      </c>
      <c r="M202" s="149" t="n">
        <v>23180.8</v>
      </c>
      <c r="N202" s="190"/>
      <c r="O202" s="151" t="n">
        <v>26</v>
      </c>
      <c r="P202" s="149" t="n">
        <v>74802.14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7</v>
      </c>
      <c r="I209" s="165" t="n">
        <v>1</v>
      </c>
      <c r="J209" s="165" t="n">
        <v>1</v>
      </c>
      <c r="K209" s="166" t="n">
        <v>1762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21</v>
      </c>
      <c r="I212" s="160" t="n">
        <v>17</v>
      </c>
      <c r="J212" s="160" t="n">
        <v>28</v>
      </c>
      <c r="K212" s="161" t="n">
        <v>62675.5</v>
      </c>
      <c r="L212" s="161" t="n">
        <f aca="false">M212+N212</f>
        <v>41900.39</v>
      </c>
      <c r="M212" s="161" t="n">
        <v>41900.39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4</v>
      </c>
      <c r="J213" s="165" t="n">
        <v>4</v>
      </c>
      <c r="K213" s="166" t="n">
        <v>12298.76</v>
      </c>
      <c r="L213" s="166" t="n">
        <f aca="false">M213+N213</f>
        <v>6079.83</v>
      </c>
      <c r="M213" s="166" t="n">
        <f aca="false">6079.83</f>
        <v>6079.83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7984.73</v>
      </c>
      <c r="M214" s="149" t="n">
        <v>7984.73</v>
      </c>
      <c r="N214" s="190"/>
      <c r="O214" s="151" t="n">
        <v>3</v>
      </c>
      <c r="P214" s="149" t="n">
        <v>5504.35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5</v>
      </c>
      <c r="I215" s="165" t="n">
        <v>2</v>
      </c>
      <c r="J215" s="165" t="n">
        <v>2</v>
      </c>
      <c r="K215" s="166" t="n">
        <v>3618.8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9</v>
      </c>
      <c r="P217" s="166" t="n">
        <v>39972.62</v>
      </c>
      <c r="Q217" s="166" t="n">
        <f aca="false">R217+S217</f>
        <v>39972.62</v>
      </c>
      <c r="R217" s="166" t="n">
        <f aca="false">34681.92+4002+1288.7</f>
        <v>39972.62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23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17185.96</v>
      </c>
      <c r="M218" s="149" t="n">
        <v>17185.96</v>
      </c>
      <c r="N218" s="190"/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24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218" t="s">
        <v>286</v>
      </c>
      <c r="G223" s="152" t="s">
        <v>26</v>
      </c>
      <c r="H223" s="153" t="n">
        <v>11</v>
      </c>
      <c r="I223" s="154" t="n">
        <v>7</v>
      </c>
      <c r="J223" s="154" t="n">
        <v>7</v>
      </c>
      <c r="K223" s="155" t="n">
        <v>7443.85</v>
      </c>
      <c r="L223" s="155" t="n">
        <f aca="false">M223+N223</f>
        <v>5265.26</v>
      </c>
      <c r="M223" s="155" t="n">
        <f aca="false">3240.16+1012.55+1012.55</f>
        <v>5265.26</v>
      </c>
      <c r="N223" s="156"/>
      <c r="O223" s="157" t="n">
        <v>7</v>
      </c>
      <c r="P223" s="155" t="s">
        <v>306</v>
      </c>
      <c r="Q223" s="155" t="n">
        <f aca="false">R223+S223</f>
        <v>13991.6</v>
      </c>
      <c r="R223" s="155" t="n">
        <f aca="false">6995.8+1288.7+5707.1</f>
        <v>13991.6</v>
      </c>
      <c r="S223" s="156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54"/>
      <c r="B224" s="200" t="s">
        <v>138</v>
      </c>
      <c r="C224" s="200" t="s">
        <v>33</v>
      </c>
      <c r="D224" s="200" t="s">
        <v>139</v>
      </c>
      <c r="E224" s="200" t="s">
        <v>25</v>
      </c>
      <c r="F224" s="268"/>
      <c r="G224" s="146" t="s">
        <v>22</v>
      </c>
      <c r="H224" s="169"/>
      <c r="I224" s="160"/>
      <c r="J224" s="160"/>
      <c r="K224" s="161"/>
      <c r="L224" s="161" t="n">
        <f aca="false">M224+N224</f>
        <v>0</v>
      </c>
      <c r="M224" s="161"/>
      <c r="N224" s="190"/>
      <c r="O224" s="163"/>
      <c r="P224" s="161"/>
      <c r="Q224" s="161" t="n">
        <f aca="false">R224+S224</f>
        <v>0</v>
      </c>
      <c r="R224" s="161"/>
      <c r="S224" s="19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54"/>
      <c r="B225" s="200"/>
      <c r="C225" s="200"/>
      <c r="D225" s="200"/>
      <c r="E225" s="200"/>
      <c r="F225" s="218" t="s">
        <v>214</v>
      </c>
      <c r="G225" s="152" t="s">
        <v>26</v>
      </c>
      <c r="H225" s="171" t="n">
        <v>7</v>
      </c>
      <c r="I225" s="154" t="n">
        <v>3</v>
      </c>
      <c r="J225" s="154" t="n">
        <v>3</v>
      </c>
      <c r="K225" s="155" t="n">
        <v>4858.32</v>
      </c>
      <c r="L225" s="155" t="n">
        <f aca="false">M225+N225</f>
        <v>4158.32</v>
      </c>
      <c r="M225" s="155" t="n">
        <f aca="false">2466.8+1691.52</f>
        <v>4158.32</v>
      </c>
      <c r="N225" s="156"/>
      <c r="O225" s="157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true" outlineLevel="0" collapsed="false">
      <c r="A226" s="33"/>
      <c r="B226" s="188" t="s">
        <v>140</v>
      </c>
      <c r="C226" s="188" t="s">
        <v>20</v>
      </c>
      <c r="D226" s="188"/>
      <c r="E226" s="188" t="s">
        <v>141</v>
      </c>
      <c r="F226" s="268"/>
      <c r="G226" s="146" t="s">
        <v>22</v>
      </c>
      <c r="H226" s="159" t="n">
        <v>23</v>
      </c>
      <c r="I226" s="160" t="n">
        <v>22</v>
      </c>
      <c r="J226" s="160" t="n">
        <v>33</v>
      </c>
      <c r="K226" s="161" t="n">
        <v>49999.33</v>
      </c>
      <c r="L226" s="161" t="n">
        <f aca="false">M226+N226</f>
        <v>45981.11</v>
      </c>
      <c r="M226" s="161" t="n">
        <v>45981.11</v>
      </c>
      <c r="N226" s="190"/>
      <c r="O226" s="163" t="n">
        <v>12</v>
      </c>
      <c r="P226" s="161" t="n">
        <v>72912.46</v>
      </c>
      <c r="Q226" s="161" t="n">
        <f aca="false">R226+S226</f>
        <v>72912.46</v>
      </c>
      <c r="R226" s="161" t="n">
        <v>72912.46</v>
      </c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33"/>
      <c r="B227" s="188"/>
      <c r="C227" s="188"/>
      <c r="D227" s="188"/>
      <c r="E227" s="188"/>
      <c r="F227" s="52" t="s">
        <v>215</v>
      </c>
      <c r="G227" s="164" t="s">
        <v>26</v>
      </c>
      <c r="H227" s="175" t="n">
        <v>2</v>
      </c>
      <c r="I227" s="165" t="n">
        <v>2</v>
      </c>
      <c r="J227" s="165" t="n">
        <v>2</v>
      </c>
      <c r="K227" s="166" t="n">
        <v>1159.83</v>
      </c>
      <c r="L227" s="166" t="n">
        <f aca="false">M227+N227</f>
        <v>0</v>
      </c>
      <c r="M227" s="166"/>
      <c r="N227" s="156"/>
      <c r="O227" s="168"/>
      <c r="P227" s="166"/>
      <c r="Q227" s="166" t="n">
        <f aca="false">R227+S227</f>
        <v>0</v>
      </c>
      <c r="R227" s="166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.75" hidden="false" customHeight="true" outlineLevel="0" collapsed="false">
      <c r="A228" s="17"/>
      <c r="B228" s="266" t="s">
        <v>251</v>
      </c>
      <c r="C228" s="266" t="s">
        <v>20</v>
      </c>
      <c r="D228" s="266"/>
      <c r="E228" s="266" t="s">
        <v>116</v>
      </c>
      <c r="F228" s="267"/>
      <c r="G228" s="146" t="s">
        <v>22</v>
      </c>
      <c r="H228" s="173" t="n">
        <v>7</v>
      </c>
      <c r="I228" s="148" t="n">
        <v>5</v>
      </c>
      <c r="J228" s="148" t="n">
        <v>5</v>
      </c>
      <c r="K228" s="149" t="n">
        <v>6613.73</v>
      </c>
      <c r="L228" s="166" t="n">
        <f aca="false">M228+N228</f>
        <v>3851.92</v>
      </c>
      <c r="M228" s="149" t="n">
        <v>3851.92</v>
      </c>
      <c r="N228" s="190"/>
      <c r="O228" s="206"/>
      <c r="P228" s="149"/>
      <c r="Q228" s="149"/>
      <c r="R228" s="149"/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17"/>
      <c r="B229" s="266"/>
      <c r="C229" s="266"/>
      <c r="D229" s="266"/>
      <c r="E229" s="266"/>
      <c r="F229" s="218" t="s">
        <v>252</v>
      </c>
      <c r="G229" s="152" t="s">
        <v>26</v>
      </c>
      <c r="H229" s="174" t="n">
        <v>9</v>
      </c>
      <c r="I229" s="154"/>
      <c r="J229" s="154"/>
      <c r="K229" s="155"/>
      <c r="L229" s="166" t="n">
        <f aca="false">M229+N229</f>
        <v>0</v>
      </c>
      <c r="M229" s="155"/>
      <c r="N229" s="156"/>
      <c r="O229" s="209"/>
      <c r="P229" s="155"/>
      <c r="Q229" s="155"/>
      <c r="R229" s="155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54"/>
      <c r="B230" s="200" t="s">
        <v>142</v>
      </c>
      <c r="C230" s="200" t="s">
        <v>20</v>
      </c>
      <c r="D230" s="200"/>
      <c r="E230" s="200" t="s">
        <v>25</v>
      </c>
      <c r="F230" s="268"/>
      <c r="G230" s="158" t="s">
        <v>22</v>
      </c>
      <c r="H230" s="173" t="n">
        <v>6</v>
      </c>
      <c r="I230" s="148" t="n">
        <v>5</v>
      </c>
      <c r="J230" s="148" t="n">
        <v>5</v>
      </c>
      <c r="K230" s="149" t="n">
        <v>3970.58</v>
      </c>
      <c r="L230" s="149" t="n">
        <f aca="false">M230+N230</f>
        <v>3970.58</v>
      </c>
      <c r="M230" s="149" t="n">
        <v>3970.58</v>
      </c>
      <c r="N230" s="190"/>
      <c r="O230" s="228" t="n">
        <v>6</v>
      </c>
      <c r="P230" s="161" t="n">
        <v>10969.43</v>
      </c>
      <c r="Q230" s="161" t="n">
        <f aca="false">R230+S230</f>
        <v>10969.43</v>
      </c>
      <c r="R230" s="161" t="n">
        <v>10969.43</v>
      </c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54"/>
      <c r="B231" s="200"/>
      <c r="C231" s="200"/>
      <c r="D231" s="200"/>
      <c r="E231" s="200"/>
      <c r="F231" s="52" t="s">
        <v>216</v>
      </c>
      <c r="G231" s="164" t="s">
        <v>26</v>
      </c>
      <c r="H231" s="177" t="n">
        <v>9</v>
      </c>
      <c r="I231" s="165" t="n">
        <v>5</v>
      </c>
      <c r="J231" s="165" t="n">
        <v>5</v>
      </c>
      <c r="K231" s="166" t="n">
        <v>10225.1</v>
      </c>
      <c r="L231" s="166" t="n">
        <f aca="false">M231+N231</f>
        <v>7831.8</v>
      </c>
      <c r="M231" s="166" t="n">
        <f aca="false">5167.21+823.59+1841</f>
        <v>7831.8</v>
      </c>
      <c r="N231" s="167"/>
      <c r="O231" s="238" t="n">
        <v>14</v>
      </c>
      <c r="P231" s="166" t="n">
        <v>14903.5</v>
      </c>
      <c r="Q231" s="166" t="n">
        <f aca="false">R231+S231</f>
        <v>29999.7</v>
      </c>
      <c r="R231" s="166" t="n">
        <f aca="false">14903.5+15096.2</f>
        <v>29999.7</v>
      </c>
      <c r="S231" s="167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17"/>
      <c r="B232" s="266" t="s">
        <v>287</v>
      </c>
      <c r="C232" s="200" t="s">
        <v>20</v>
      </c>
      <c r="D232" s="266"/>
      <c r="E232" s="200" t="s">
        <v>25</v>
      </c>
      <c r="F232" s="267"/>
      <c r="G232" s="146" t="s">
        <v>22</v>
      </c>
      <c r="H232" s="147"/>
      <c r="I232" s="148"/>
      <c r="J232" s="148"/>
      <c r="K232" s="149"/>
      <c r="L232" s="149" t="n">
        <f aca="false">M232+N232</f>
        <v>0</v>
      </c>
      <c r="M232" s="149"/>
      <c r="N232" s="150"/>
      <c r="O232" s="206"/>
      <c r="P232" s="149"/>
      <c r="Q232" s="149" t="n">
        <f aca="false">R232+S232</f>
        <v>0</v>
      </c>
      <c r="R232" s="149"/>
      <c r="S232" s="15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17"/>
      <c r="B233" s="266"/>
      <c r="C233" s="266"/>
      <c r="D233" s="266"/>
      <c r="E233" s="266"/>
      <c r="F233" s="218" t="s">
        <v>288</v>
      </c>
      <c r="G233" s="152" t="s">
        <v>26</v>
      </c>
      <c r="H233" s="176" t="n">
        <v>11</v>
      </c>
      <c r="I233" s="154" t="n">
        <v>4</v>
      </c>
      <c r="J233" s="154" t="n">
        <v>4</v>
      </c>
      <c r="K233" s="155" t="n">
        <v>3876.4</v>
      </c>
      <c r="L233" s="155" t="n">
        <f aca="false">M233+N233</f>
        <v>3171.6</v>
      </c>
      <c r="M233" s="155" t="n">
        <f aca="false">3171.6</f>
        <v>3171.6</v>
      </c>
      <c r="N233" s="156"/>
      <c r="O233" s="209"/>
      <c r="P233" s="155"/>
      <c r="Q233" s="155" t="n">
        <f aca="false">R233+S233</f>
        <v>0</v>
      </c>
      <c r="R233" s="155"/>
      <c r="S233" s="156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33"/>
      <c r="B234" s="188" t="s">
        <v>143</v>
      </c>
      <c r="C234" s="188" t="s">
        <v>20</v>
      </c>
      <c r="D234" s="188"/>
      <c r="E234" s="188" t="s">
        <v>25</v>
      </c>
      <c r="F234" s="268"/>
      <c r="G234" s="158" t="s">
        <v>22</v>
      </c>
      <c r="H234" s="169" t="n">
        <v>1</v>
      </c>
      <c r="I234" s="160"/>
      <c r="J234" s="160"/>
      <c r="K234" s="161"/>
      <c r="L234" s="161" t="n">
        <f aca="false">M234+N234</f>
        <v>0</v>
      </c>
      <c r="M234" s="161"/>
      <c r="N234" s="190"/>
      <c r="O234" s="163" t="n">
        <v>1</v>
      </c>
      <c r="P234" s="161" t="n">
        <v>1515.67</v>
      </c>
      <c r="Q234" s="161" t="n">
        <f aca="false">R234+S234</f>
        <v>1515.67</v>
      </c>
      <c r="R234" s="161" t="n">
        <v>1515.67</v>
      </c>
      <c r="S234" s="19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33"/>
      <c r="B235" s="188"/>
      <c r="C235" s="188"/>
      <c r="D235" s="188"/>
      <c r="E235" s="188"/>
      <c r="F235" s="52" t="s">
        <v>217</v>
      </c>
      <c r="G235" s="164" t="s">
        <v>26</v>
      </c>
      <c r="H235" s="171" t="n">
        <v>9</v>
      </c>
      <c r="I235" s="165" t="n">
        <v>4</v>
      </c>
      <c r="J235" s="165" t="n">
        <v>4</v>
      </c>
      <c r="K235" s="166" t="n">
        <v>9664.55</v>
      </c>
      <c r="L235" s="166" t="n">
        <f aca="false">M235+N235</f>
        <v>12211.05</v>
      </c>
      <c r="M235" s="166" t="n">
        <f aca="false">11506.25+704.8</f>
        <v>12211.05</v>
      </c>
      <c r="N235" s="156"/>
      <c r="O235" s="168" t="n">
        <v>9</v>
      </c>
      <c r="P235" s="166" t="n">
        <v>35942.4</v>
      </c>
      <c r="Q235" s="166" t="n">
        <f aca="false">R235+S235</f>
        <v>35942.4</v>
      </c>
      <c r="R235" s="166" t="n">
        <f aca="false">31892.2+4050.2</f>
        <v>35942.4</v>
      </c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17"/>
      <c r="B236" s="266" t="s">
        <v>144</v>
      </c>
      <c r="C236" s="266" t="s">
        <v>20</v>
      </c>
      <c r="D236" s="266"/>
      <c r="E236" s="266" t="s">
        <v>81</v>
      </c>
      <c r="F236" s="267"/>
      <c r="G236" s="146" t="s">
        <v>22</v>
      </c>
      <c r="H236" s="159" t="n">
        <v>15</v>
      </c>
      <c r="I236" s="148" t="n">
        <v>10</v>
      </c>
      <c r="J236" s="148" t="n">
        <v>11</v>
      </c>
      <c r="K236" s="149" t="n">
        <v>9896.72</v>
      </c>
      <c r="L236" s="149" t="n">
        <f aca="false">M236+N236</f>
        <v>7588.94</v>
      </c>
      <c r="M236" s="149" t="n">
        <v>7588.94</v>
      </c>
      <c r="N236" s="190"/>
      <c r="O236" s="151" t="n">
        <v>6</v>
      </c>
      <c r="P236" s="149" t="n">
        <v>23448.49</v>
      </c>
      <c r="Q236" s="149" t="n">
        <f aca="false">R236+S236</f>
        <v>16284.3</v>
      </c>
      <c r="R236" s="149" t="n">
        <v>16284.3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17"/>
      <c r="B237" s="266"/>
      <c r="C237" s="266"/>
      <c r="D237" s="266"/>
      <c r="E237" s="266"/>
      <c r="F237" s="218" t="s">
        <v>218</v>
      </c>
      <c r="G237" s="152" t="s">
        <v>26</v>
      </c>
      <c r="H237" s="171" t="n">
        <v>7</v>
      </c>
      <c r="I237" s="154" t="n">
        <v>5</v>
      </c>
      <c r="J237" s="154" t="n">
        <v>5</v>
      </c>
      <c r="K237" s="155" t="n">
        <v>7366.4</v>
      </c>
      <c r="L237" s="155" t="n">
        <f aca="false">M237+N237</f>
        <v>8056.78</v>
      </c>
      <c r="M237" s="155" t="n">
        <f aca="false">7044.23+1012.55</f>
        <v>8056.78</v>
      </c>
      <c r="N237" s="156"/>
      <c r="O237" s="157" t="n">
        <v>2</v>
      </c>
      <c r="P237" s="155" t="n">
        <v>4493.1</v>
      </c>
      <c r="Q237" s="155" t="n">
        <f aca="false">R237+S237</f>
        <v>4493.1</v>
      </c>
      <c r="R237" s="155" t="n">
        <f aca="false">4493.1</f>
        <v>4493.1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true" outlineLevel="0" collapsed="false">
      <c r="A238" s="33"/>
      <c r="B238" s="188" t="s">
        <v>145</v>
      </c>
      <c r="C238" s="188" t="s">
        <v>20</v>
      </c>
      <c r="D238" s="188"/>
      <c r="E238" s="188" t="s">
        <v>98</v>
      </c>
      <c r="F238" s="268"/>
      <c r="G238" s="146" t="s">
        <v>22</v>
      </c>
      <c r="H238" s="169"/>
      <c r="I238" s="160"/>
      <c r="J238" s="160"/>
      <c r="K238" s="161"/>
      <c r="L238" s="161" t="n">
        <f aca="false">M238+N238</f>
        <v>0</v>
      </c>
      <c r="M238" s="161"/>
      <c r="N238" s="190"/>
      <c r="O238" s="163"/>
      <c r="P238" s="161"/>
      <c r="Q238" s="161" t="n">
        <f aca="false">R238+S238</f>
        <v>0</v>
      </c>
      <c r="R238" s="161"/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33"/>
      <c r="B239" s="188"/>
      <c r="C239" s="188"/>
      <c r="D239" s="188"/>
      <c r="E239" s="188"/>
      <c r="F239" s="272"/>
      <c r="G239" s="164" t="s">
        <v>23</v>
      </c>
      <c r="H239" s="175"/>
      <c r="I239" s="165"/>
      <c r="J239" s="165"/>
      <c r="K239" s="166"/>
      <c r="L239" s="166" t="n">
        <f aca="false">M239+N239</f>
        <v>0</v>
      </c>
      <c r="M239" s="166"/>
      <c r="N239" s="156"/>
      <c r="O239" s="168"/>
      <c r="P239" s="166"/>
      <c r="Q239" s="166" t="n">
        <f aca="false">R239+S239</f>
        <v>0</v>
      </c>
      <c r="R239" s="166"/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17"/>
      <c r="B240" s="266" t="s">
        <v>146</v>
      </c>
      <c r="C240" s="266" t="s">
        <v>20</v>
      </c>
      <c r="D240" s="266"/>
      <c r="E240" s="266" t="s">
        <v>25</v>
      </c>
      <c r="F240" s="193"/>
      <c r="G240" s="146" t="s">
        <v>22</v>
      </c>
      <c r="H240" s="173" t="n">
        <v>12</v>
      </c>
      <c r="I240" s="148" t="n">
        <v>10</v>
      </c>
      <c r="J240" s="148" t="n">
        <v>12</v>
      </c>
      <c r="K240" s="149" t="n">
        <v>16027.46</v>
      </c>
      <c r="L240" s="149" t="n">
        <f aca="false">M240+N240</f>
        <v>16027.46</v>
      </c>
      <c r="M240" s="149" t="n">
        <v>16027.46</v>
      </c>
      <c r="N240" s="190"/>
      <c r="O240" s="206" t="n">
        <v>2</v>
      </c>
      <c r="P240" s="149" t="n">
        <v>15606.38</v>
      </c>
      <c r="Q240" s="149" t="n">
        <f aca="false">R240+S240</f>
        <v>15606.38</v>
      </c>
      <c r="R240" s="149" t="n">
        <v>15606.38</v>
      </c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17"/>
      <c r="B241" s="266"/>
      <c r="C241" s="266"/>
      <c r="D241" s="266"/>
      <c r="E241" s="266"/>
      <c r="F241" s="52" t="s">
        <v>219</v>
      </c>
      <c r="G241" s="164" t="s">
        <v>26</v>
      </c>
      <c r="H241" s="178" t="n">
        <v>6</v>
      </c>
      <c r="I241" s="165" t="n">
        <v>5</v>
      </c>
      <c r="J241" s="165" t="n">
        <v>5</v>
      </c>
      <c r="K241" s="166" t="n">
        <v>9225.65</v>
      </c>
      <c r="L241" s="166" t="n">
        <f aca="false">M241+N241</f>
        <v>9225.95</v>
      </c>
      <c r="M241" s="166" t="n">
        <f aca="false">3150.65+6075.3</f>
        <v>9225.95</v>
      </c>
      <c r="N241" s="167"/>
      <c r="O241" s="238" t="n">
        <v>1</v>
      </c>
      <c r="P241" s="166" t="n">
        <v>1585.8</v>
      </c>
      <c r="Q241" s="166" t="n">
        <f aca="false">R241+S241</f>
        <v>1585.8</v>
      </c>
      <c r="R241" s="166" t="n">
        <v>1585.8</v>
      </c>
      <c r="S241" s="167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.75" hidden="false" customHeight="true" outlineLevel="0" collapsed="false">
      <c r="A242" s="17"/>
      <c r="B242" s="266" t="s">
        <v>289</v>
      </c>
      <c r="C242" s="266"/>
      <c r="D242" s="266"/>
      <c r="E242" s="266"/>
      <c r="F242" s="267"/>
      <c r="G242" s="146" t="s">
        <v>22</v>
      </c>
      <c r="H242" s="173" t="n">
        <v>7</v>
      </c>
      <c r="I242" s="148" t="n">
        <v>6</v>
      </c>
      <c r="J242" s="148" t="n">
        <v>11</v>
      </c>
      <c r="K242" s="149" t="n">
        <v>13013.88</v>
      </c>
      <c r="L242" s="149" t="n">
        <f aca="false">M242+N242</f>
        <v>7648.67</v>
      </c>
      <c r="M242" s="149" t="n">
        <v>7648.67</v>
      </c>
      <c r="N242" s="224"/>
      <c r="O242" s="151"/>
      <c r="P242" s="149"/>
      <c r="Q242" s="149" t="n">
        <f aca="false">R242+S242</f>
        <v>0</v>
      </c>
      <c r="R242" s="149"/>
      <c r="S242" s="15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270"/>
      <c r="G243" s="152" t="s">
        <v>23</v>
      </c>
      <c r="H243" s="174" t="n">
        <v>5</v>
      </c>
      <c r="I243" s="154" t="n">
        <v>2</v>
      </c>
      <c r="J243" s="154" t="n">
        <v>2</v>
      </c>
      <c r="K243" s="155" t="n">
        <v>3614.54</v>
      </c>
      <c r="L243" s="155" t="n">
        <v>3614.54</v>
      </c>
      <c r="M243" s="155" t="n">
        <v>3614.54</v>
      </c>
      <c r="N243" s="226"/>
      <c r="O243" s="157"/>
      <c r="P243" s="155"/>
      <c r="Q243" s="155" t="n">
        <f aca="false">R243+S243</f>
        <v>0</v>
      </c>
      <c r="R243" s="155"/>
      <c r="S243" s="156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54"/>
      <c r="B244" s="200" t="s">
        <v>147</v>
      </c>
      <c r="C244" s="200" t="s">
        <v>20</v>
      </c>
      <c r="D244" s="200"/>
      <c r="E244" s="200" t="s">
        <v>25</v>
      </c>
      <c r="F244" s="271"/>
      <c r="G244" s="158" t="s">
        <v>22</v>
      </c>
      <c r="H244" s="159" t="n">
        <v>4</v>
      </c>
      <c r="I244" s="160" t="n">
        <v>3</v>
      </c>
      <c r="J244" s="160" t="n">
        <v>3</v>
      </c>
      <c r="K244" s="161" t="n">
        <v>2093.26</v>
      </c>
      <c r="L244" s="161" t="n">
        <f aca="false">M244+N244</f>
        <v>2093.26</v>
      </c>
      <c r="M244" s="161" t="n">
        <v>2093.26</v>
      </c>
      <c r="N244" s="190"/>
      <c r="O244" s="163" t="n">
        <v>5</v>
      </c>
      <c r="P244" s="161" t="n">
        <v>18277.74</v>
      </c>
      <c r="Q244" s="161" t="n">
        <f aca="false">R244+S244</f>
        <v>18277.74</v>
      </c>
      <c r="R244" s="161" t="n">
        <v>18277.74</v>
      </c>
      <c r="S244" s="19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54"/>
      <c r="B245" s="200"/>
      <c r="C245" s="200"/>
      <c r="D245" s="200"/>
      <c r="E245" s="200"/>
      <c r="F245" s="52" t="s">
        <v>220</v>
      </c>
      <c r="G245" s="164" t="s">
        <v>26</v>
      </c>
      <c r="H245" s="172" t="n">
        <v>12</v>
      </c>
      <c r="I245" s="165" t="n">
        <v>6</v>
      </c>
      <c r="J245" s="165" t="n">
        <v>7</v>
      </c>
      <c r="K245" s="166" t="n">
        <v>17440.6</v>
      </c>
      <c r="L245" s="189" t="n">
        <f aca="false">M245+N245</f>
        <v>5517.5</v>
      </c>
      <c r="M245" s="166" t="n">
        <f aca="false">528.6+3700.2+1288.7</f>
        <v>5517.5</v>
      </c>
      <c r="N245" s="167"/>
      <c r="O245" s="168" t="n">
        <v>5</v>
      </c>
      <c r="P245" s="166" t="n">
        <v>18677.2</v>
      </c>
      <c r="Q245" s="189" t="n">
        <f aca="false">R245+S245</f>
        <v>18677.2</v>
      </c>
      <c r="R245" s="166" t="n">
        <f aca="false">7048+528.6+5638.4+5462.2</f>
        <v>18677.2</v>
      </c>
      <c r="S245" s="167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true" outlineLevel="0" collapsed="false">
      <c r="A246" s="17"/>
      <c r="B246" s="266" t="s">
        <v>297</v>
      </c>
      <c r="C246" s="266"/>
      <c r="D246" s="266"/>
      <c r="E246" s="266" t="s">
        <v>25</v>
      </c>
      <c r="F246" s="193"/>
      <c r="G246" s="146" t="s">
        <v>22</v>
      </c>
      <c r="H246" s="173" t="n">
        <v>5</v>
      </c>
      <c r="I246" s="148"/>
      <c r="J246" s="148"/>
      <c r="K246" s="149"/>
      <c r="L246" s="149" t="n">
        <f aca="false">M246+N246</f>
        <v>0</v>
      </c>
      <c r="M246" s="149"/>
      <c r="N246" s="150"/>
      <c r="O246" s="206"/>
      <c r="P246" s="149"/>
      <c r="Q246" s="149" t="n">
        <f aca="false">R246+S246</f>
        <v>0</v>
      </c>
      <c r="R246" s="149"/>
      <c r="S246" s="15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17"/>
      <c r="B247" s="266"/>
      <c r="C247" s="266"/>
      <c r="D247" s="266"/>
      <c r="E247" s="266"/>
      <c r="F247" s="218"/>
      <c r="G247" s="152" t="s">
        <v>26</v>
      </c>
      <c r="H247" s="174"/>
      <c r="I247" s="154"/>
      <c r="J247" s="154"/>
      <c r="K247" s="155"/>
      <c r="L247" s="155" t="n">
        <f aca="false">M247+N247</f>
        <v>0</v>
      </c>
      <c r="M247" s="155"/>
      <c r="N247" s="156"/>
      <c r="O247" s="209"/>
      <c r="P247" s="155"/>
      <c r="Q247" s="155" t="n">
        <f aca="false">R247+S247</f>
        <v>0</v>
      </c>
      <c r="R247" s="155"/>
      <c r="S247" s="156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54"/>
      <c r="B248" s="200" t="s">
        <v>148</v>
      </c>
      <c r="C248" s="200" t="s">
        <v>20</v>
      </c>
      <c r="D248" s="200"/>
      <c r="E248" s="200" t="s">
        <v>21</v>
      </c>
      <c r="F248" s="192"/>
      <c r="G248" s="158" t="s">
        <v>22</v>
      </c>
      <c r="H248" s="159" t="n">
        <v>5</v>
      </c>
      <c r="I248" s="160" t="n">
        <v>1</v>
      </c>
      <c r="J248" s="160" t="n">
        <v>1</v>
      </c>
      <c r="K248" s="161" t="n">
        <v>436.1</v>
      </c>
      <c r="L248" s="161" t="n">
        <f aca="false">M248+N248</f>
        <v>436.1</v>
      </c>
      <c r="M248" s="161" t="n">
        <v>436.1</v>
      </c>
      <c r="N248" s="190"/>
      <c r="O248" s="163" t="n">
        <v>1</v>
      </c>
      <c r="P248" s="161" t="n">
        <v>13232.99</v>
      </c>
      <c r="Q248" s="161" t="n">
        <f aca="false">R248+S248</f>
        <v>13232.99</v>
      </c>
      <c r="R248" s="161" t="n">
        <v>13232.99</v>
      </c>
      <c r="S248" s="19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.75" hidden="false" customHeight="true" outlineLevel="0" collapsed="false">
      <c r="A249" s="54"/>
      <c r="B249" s="200"/>
      <c r="C249" s="200"/>
      <c r="D249" s="200"/>
      <c r="E249" s="200"/>
      <c r="F249" s="218" t="s">
        <v>248</v>
      </c>
      <c r="G249" s="152" t="s">
        <v>23</v>
      </c>
      <c r="H249" s="171" t="n">
        <v>2</v>
      </c>
      <c r="I249" s="154"/>
      <c r="J249" s="154"/>
      <c r="K249" s="155"/>
      <c r="L249" s="155" t="n">
        <f aca="false">M249+N249</f>
        <v>0</v>
      </c>
      <c r="M249" s="155"/>
      <c r="N249" s="156"/>
      <c r="O249" s="157" t="n">
        <v>1</v>
      </c>
      <c r="P249" s="155" t="n">
        <v>572.65</v>
      </c>
      <c r="Q249" s="155" t="n">
        <v>572.65</v>
      </c>
      <c r="R249" s="155" t="n">
        <v>572.65</v>
      </c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.75" hidden="false" customHeight="true" outlineLevel="0" collapsed="false">
      <c r="A250" s="99"/>
      <c r="B250" s="100" t="s">
        <v>149</v>
      </c>
      <c r="C250" s="100"/>
      <c r="D250" s="100"/>
      <c r="E250" s="100"/>
      <c r="F250" s="100"/>
      <c r="G250" s="212"/>
      <c r="H250" s="213" t="n">
        <f aca="false">SUM(H9:H249)</f>
        <v>2466</v>
      </c>
      <c r="I250" s="214" t="n">
        <f aca="false">SUM(I9:I249)</f>
        <v>1571</v>
      </c>
      <c r="J250" s="214" t="n">
        <f aca="false">SUM(J9:J249)</f>
        <v>1911</v>
      </c>
      <c r="K250" s="215" t="n">
        <f aca="false">SUM(K9:K249)</f>
        <v>3368369.39</v>
      </c>
      <c r="L250" s="215" t="n">
        <f aca="false">SUM(L9:L249)</f>
        <v>2531003.14</v>
      </c>
      <c r="M250" s="215" t="n">
        <f aca="false">SUM(M9:M249)</f>
        <v>2521424.44</v>
      </c>
      <c r="N250" s="243" t="n">
        <f aca="false">SUM(N9:N249)</f>
        <v>15004.15</v>
      </c>
      <c r="O250" s="244" t="n">
        <f aca="false">SUM(O9:O249)</f>
        <v>1184</v>
      </c>
      <c r="P250" s="245" t="n">
        <f aca="false">SUM(P9:P249)</f>
        <v>4401452.23</v>
      </c>
      <c r="Q250" s="245" t="n">
        <f aca="false">SUM(Q9:Q249)</f>
        <v>4048246.23</v>
      </c>
      <c r="R250" s="245" t="n">
        <f aca="false">SUM(R9:R249)</f>
        <v>4055978.43</v>
      </c>
      <c r="S250" s="246" t="n">
        <f aca="false">SUM(S9:S249)</f>
        <v>7179.9</v>
      </c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I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 t="s">
        <v>290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true" outlineLevel="0" collapsed="false">
      <c r="A254" s="2"/>
      <c r="B254" s="2"/>
      <c r="C254" s="2"/>
      <c r="D254" s="2"/>
      <c r="E254" s="2"/>
      <c r="F254" s="103"/>
      <c r="G254" s="104" t="s">
        <v>5</v>
      </c>
      <c r="H254" s="104"/>
      <c r="I254" s="104"/>
      <c r="J254" s="104"/>
      <c r="K254" s="104"/>
      <c r="L254" s="104"/>
      <c r="M254" s="104"/>
      <c r="N254" s="104" t="s">
        <v>6</v>
      </c>
      <c r="O254" s="104"/>
      <c r="P254" s="104"/>
      <c r="Q254" s="104"/>
      <c r="R254" s="104"/>
      <c r="S254" s="105" t="s">
        <v>150</v>
      </c>
      <c r="T254" s="105" t="s">
        <v>253</v>
      </c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103"/>
      <c r="G255" s="106" t="s">
        <v>13</v>
      </c>
      <c r="H255" s="106" t="s">
        <v>14</v>
      </c>
      <c r="I255" s="106" t="s">
        <v>15</v>
      </c>
      <c r="J255" s="106" t="s">
        <v>226</v>
      </c>
      <c r="K255" s="106" t="s">
        <v>16</v>
      </c>
      <c r="L255" s="106" t="s">
        <v>17</v>
      </c>
      <c r="M255" s="106" t="s">
        <v>18</v>
      </c>
      <c r="N255" s="106" t="s">
        <v>15</v>
      </c>
      <c r="O255" s="106" t="s">
        <v>226</v>
      </c>
      <c r="P255" s="106" t="s">
        <v>16</v>
      </c>
      <c r="Q255" s="106" t="s">
        <v>17</v>
      </c>
      <c r="R255" s="106" t="s">
        <v>18</v>
      </c>
      <c r="S255" s="105"/>
      <c r="T255" s="105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false" outlineLevel="0" collapsed="false">
      <c r="A256" s="2"/>
      <c r="B256" s="2"/>
      <c r="C256" s="2"/>
      <c r="D256" s="2"/>
      <c r="E256" s="2"/>
      <c r="F256" s="107" t="s">
        <v>22</v>
      </c>
      <c r="G256" s="108" t="n">
        <f aca="false">SUMIF($G$9:$G$249,$F$256,H9:H249)</f>
        <v>1672</v>
      </c>
      <c r="H256" s="108" t="n">
        <f aca="false">SUMIF($G$9:$G$249,$F$256,I9:I249)</f>
        <v>1187</v>
      </c>
      <c r="I256" s="108" t="n">
        <f aca="false">SUMIF($G$9:$G$249,$F$256,J9:J249)</f>
        <v>1523</v>
      </c>
      <c r="J256" s="110" t="n">
        <f aca="false">SUMIF($G$9:$G$249,F256,$K$9:$K$249)</f>
        <v>2716674</v>
      </c>
      <c r="K256" s="110" t="n">
        <f aca="false">SUMIF($G$9:$G$249,$F$256,L9:L249)</f>
        <v>2007694.98</v>
      </c>
      <c r="L256" s="110" t="n">
        <f aca="false">SUMIF($G$9:$G$249,$F$256,M9:M249)</f>
        <v>2007694.98</v>
      </c>
      <c r="M256" s="110" t="n">
        <f aca="false">SUMIF($G$9:$G$249,$F$256,N9:N249)</f>
        <v>0</v>
      </c>
      <c r="N256" s="108" t="n">
        <f aca="false">SUMIF($G$9:$G$249,$F$256,O9:O249)</f>
        <v>797</v>
      </c>
      <c r="O256" s="110" t="n">
        <f aca="false">SUMIF($G$9:$G$249,F256,$P$9:$P$249)</f>
        <v>3384825.84</v>
      </c>
      <c r="P256" s="110" t="n">
        <f aca="false">SUMIF($G$9:$G$249,$F$256,Q9:Q249)</f>
        <v>3013152.61</v>
      </c>
      <c r="Q256" s="110" t="n">
        <f aca="false">SUMIF($G$9:$G$249,$F$256,R9:R249)</f>
        <v>3013152.61</v>
      </c>
      <c r="R256" s="110" t="n">
        <f aca="false">SUMIF($G$9:$G$249,$F$256,S9:S249)</f>
        <v>0</v>
      </c>
      <c r="S256" s="110" t="n">
        <f aca="false">Q256+L256</f>
        <v>5020847.59</v>
      </c>
      <c r="T256" s="111" t="n">
        <f aca="false">J256-L256+O256-Q256</f>
        <v>1080652.25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7" t="s">
        <v>26</v>
      </c>
      <c r="G257" s="108" t="n">
        <f aca="false">SUMIF($G$9:$G$249,$F$257,H9:H249)</f>
        <v>518</v>
      </c>
      <c r="H257" s="108" t="n">
        <f aca="false">SUMIF($G$9:$G$249,$F$257,I9:I249)</f>
        <v>219</v>
      </c>
      <c r="I257" s="108" t="n">
        <f aca="false">SUMIF($G$9:$G$249,$F$257,J9:J249)</f>
        <v>223</v>
      </c>
      <c r="J257" s="110" t="n">
        <f aca="false">SUMIF($G$9:$G$249,F257,$K$9:$K$249)</f>
        <v>436709.24</v>
      </c>
      <c r="K257" s="110" t="n">
        <f aca="false">SUMIF($G$9:$G$249,$F$257,L9:L249)</f>
        <v>313752.96</v>
      </c>
      <c r="L257" s="110" t="n">
        <f aca="false">SUMIF($G$9:$G$249,$F$257,M9:M249)</f>
        <v>313747.46</v>
      </c>
      <c r="M257" s="110" t="n">
        <f aca="false">SUMIF($G$9:$G$249,$F$257,N9:N249)</f>
        <v>0</v>
      </c>
      <c r="N257" s="108" t="n">
        <f aca="false">SUMIF($G$9:$G$249,$F$257,O9:O249)</f>
        <v>280</v>
      </c>
      <c r="O257" s="110" t="n">
        <f aca="false">SUMIF($G$9:$G$249,F257,$P$9:$P$249)</f>
        <v>789945.29</v>
      </c>
      <c r="P257" s="110" t="n">
        <f aca="false">SUMIF($G$9:$G$249,$F$257,Q9:Q249)</f>
        <v>816881.12</v>
      </c>
      <c r="Q257" s="110" t="n">
        <f aca="false">SUMIF($G$9:$G$249,$F$257,R9:R249)</f>
        <v>824613.32</v>
      </c>
      <c r="R257" s="110" t="n">
        <f aca="false">SUMIF($G$9:$G$249,$F$257,S9:S249)</f>
        <v>0</v>
      </c>
      <c r="S257" s="110" t="n">
        <f aca="false">Q257+L257</f>
        <v>1138360.78</v>
      </c>
      <c r="T257" s="111" t="n">
        <f aca="false">J257-L257+O257-Q257</f>
        <v>88293.7500000001</v>
      </c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23</v>
      </c>
      <c r="G258" s="108" t="n">
        <f aca="false">SUMIF($G$9:$G$249,$F$258,H9:H249)</f>
        <v>276</v>
      </c>
      <c r="H258" s="108" t="n">
        <f aca="false">SUMIF($G$9:$G$249,$F$258,I9:I249)</f>
        <v>165</v>
      </c>
      <c r="I258" s="108" t="n">
        <f aca="false">SUMIF($G$9:$G$249,$F$258,J9:J249)</f>
        <v>165</v>
      </c>
      <c r="J258" s="110" t="n">
        <f aca="false">SUMIF($G$9:$G$249,F258,$K$9:$K$249)</f>
        <v>214986.15</v>
      </c>
      <c r="K258" s="110" t="n">
        <f aca="false">SUMIF($G$9:$G$249,$F$258,L9:L249)</f>
        <v>209555.2</v>
      </c>
      <c r="L258" s="110" t="n">
        <f aca="false">SUMIF($G$9:$G$249,$F$258,M9:M249)</f>
        <v>199982</v>
      </c>
      <c r="M258" s="110" t="n">
        <f aca="false">SUMIF($G$9:$G$249,$F$258,N9:N249)</f>
        <v>15004.15</v>
      </c>
      <c r="N258" s="108" t="n">
        <f aca="false">SUMIF($G$9:$G$249,$F$258,O9:O249)</f>
        <v>107</v>
      </c>
      <c r="O258" s="110" t="n">
        <f aca="false">SUMIF($G$9:$G$249,F258,$P$9:$P$249)</f>
        <v>226681.1</v>
      </c>
      <c r="P258" s="110" t="n">
        <f aca="false">SUMIF($G$9:$G$249,$F$258,Q9:Q249)</f>
        <v>218212.5</v>
      </c>
      <c r="Q258" s="110" t="n">
        <f aca="false">SUMIF($G$9:$G$249,$F$258,R9:R249)</f>
        <v>218212.5</v>
      </c>
      <c r="R258" s="110" t="n">
        <f aca="false">SUMIF($G$9:$G$249,$F$258,S9:S249)</f>
        <v>7179.9</v>
      </c>
      <c r="S258" s="110" t="n">
        <f aca="false">Q258+L258</f>
        <v>418194.5</v>
      </c>
      <c r="T258" s="111" t="n">
        <f aca="false">J258-L258+O258-Q258</f>
        <v>23472.75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2"/>
      <c r="G259" s="216" t="n">
        <f aca="false">G258+G257+G256</f>
        <v>2466</v>
      </c>
      <c r="H259" s="216" t="n">
        <f aca="false">H258+H257+H256</f>
        <v>1571</v>
      </c>
      <c r="I259" s="216" t="n">
        <f aca="false">I258+I257+I256</f>
        <v>1911</v>
      </c>
      <c r="J259" s="217" t="n">
        <f aca="false">J258+J257+J256</f>
        <v>3368369.39</v>
      </c>
      <c r="K259" s="217" t="n">
        <f aca="false">K258+K257+K256</f>
        <v>2531003.14</v>
      </c>
      <c r="L259" s="217" t="n">
        <f aca="false">L258+L257+L256</f>
        <v>2521424.44</v>
      </c>
      <c r="M259" s="217" t="n">
        <f aca="false">M258+M257+M256</f>
        <v>15004.15</v>
      </c>
      <c r="N259" s="216" t="n">
        <f aca="false">N258+N257+N256</f>
        <v>1184</v>
      </c>
      <c r="O259" s="217" t="n">
        <f aca="false">O258+O257+O256</f>
        <v>4401452.23</v>
      </c>
      <c r="P259" s="217" t="n">
        <f aca="false">P258+P257+P256</f>
        <v>4048246.23</v>
      </c>
      <c r="Q259" s="217" t="n">
        <f aca="false">Q258+Q257+Q256</f>
        <v>4055978.43</v>
      </c>
      <c r="R259" s="217" t="n">
        <f aca="false">R258+R257+R256</f>
        <v>7179.9</v>
      </c>
      <c r="S259" s="217" t="n">
        <f aca="false">S258+S257+S256</f>
        <v>6577402.87</v>
      </c>
      <c r="T259" s="217" t="n">
        <f aca="false">T258+T257+T256</f>
        <v>1192418.75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K293" s="236"/>
    </row>
    <row r="294" customFormat="false" ht="15" hidden="false" customHeight="false" outlineLevel="0" collapsed="false">
      <c r="K294" s="236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F320" s="0" t="s">
        <v>22</v>
      </c>
      <c r="G320" s="0" t="n">
        <v>1672</v>
      </c>
      <c r="H320" s="247" t="n">
        <v>1187</v>
      </c>
      <c r="I320" s="247" t="n">
        <v>1523</v>
      </c>
      <c r="J320" s="0" t="n">
        <v>2716674</v>
      </c>
      <c r="K320" s="236"/>
      <c r="N320" s="0" t="n">
        <v>797</v>
      </c>
      <c r="O320" s="0" t="n">
        <v>3384825.84</v>
      </c>
    </row>
    <row r="321" customFormat="false" ht="15" hidden="false" customHeight="false" outlineLevel="0" collapsed="false">
      <c r="G321" s="221" t="n">
        <f aca="false">G256-G320</f>
        <v>0</v>
      </c>
      <c r="H321" s="221" t="n">
        <f aca="false">H256-H320</f>
        <v>0</v>
      </c>
      <c r="I321" s="221" t="n">
        <f aca="false">I256-I320</f>
        <v>0</v>
      </c>
      <c r="J321" s="229" t="n">
        <f aca="false">J256-J320</f>
        <v>0</v>
      </c>
      <c r="K321" s="236"/>
      <c r="N321" s="221" t="n">
        <f aca="false">N256-N320</f>
        <v>0</v>
      </c>
      <c r="O321" s="229" t="n">
        <f aca="false">O256-O320</f>
        <v>0</v>
      </c>
    </row>
    <row r="322" customFormat="false" ht="15" hidden="false" customHeight="false" outlineLevel="0" collapsed="false">
      <c r="K322" s="236"/>
    </row>
    <row r="323" customFormat="false" ht="15" hidden="false" customHeight="false" outlineLevel="0" collapsed="false">
      <c r="K323" s="236"/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</sheetData>
  <mergeCells count="597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F254:F255"/>
    <mergeCell ref="G254:M254"/>
    <mergeCell ref="N254:R254"/>
    <mergeCell ref="S254:S255"/>
    <mergeCell ref="T254:T255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3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28</v>
      </c>
      <c r="I11" s="160" t="n">
        <v>20</v>
      </c>
      <c r="J11" s="160" t="n">
        <v>35</v>
      </c>
      <c r="K11" s="161" t="n">
        <v>76881.26</v>
      </c>
      <c r="L11" s="161" t="n">
        <f aca="false">M11+N11</f>
        <v>71801.93</v>
      </c>
      <c r="M11" s="161" t="n">
        <v>71801.93</v>
      </c>
      <c r="N11" s="239"/>
      <c r="O11" s="151" t="n">
        <v>10</v>
      </c>
      <c r="P11" s="149" t="n">
        <v>44135.02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7</v>
      </c>
      <c r="I12" s="165" t="n">
        <v>1</v>
      </c>
      <c r="J12" s="165" t="n">
        <v>1</v>
      </c>
      <c r="K12" s="166" t="n">
        <v>1841</v>
      </c>
      <c r="L12" s="166" t="n">
        <f aca="false">M12+N12</f>
        <v>0</v>
      </c>
      <c r="M12" s="166"/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37</v>
      </c>
      <c r="I13" s="148" t="n">
        <v>29</v>
      </c>
      <c r="J13" s="148" t="n">
        <v>45</v>
      </c>
      <c r="K13" s="149" t="n">
        <v>73002.61</v>
      </c>
      <c r="L13" s="149" t="n">
        <f aca="false">M13+N13</f>
        <v>53490.39</v>
      </c>
      <c r="M13" s="149" t="n">
        <v>53490.39</v>
      </c>
      <c r="N13" s="249"/>
      <c r="O13" s="228" t="n">
        <v>8</v>
      </c>
      <c r="P13" s="161" t="n">
        <v>31855.11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5</v>
      </c>
      <c r="P16" s="166" t="n">
        <v>31011.2</v>
      </c>
      <c r="Q16" s="166" t="n">
        <f aca="false">R16+S16</f>
        <v>23434.6</v>
      </c>
      <c r="R16" s="166" t="n">
        <v>23434.6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21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6</v>
      </c>
      <c r="J20" s="154" t="n">
        <v>6</v>
      </c>
      <c r="K20" s="155" t="n">
        <v>4485</v>
      </c>
      <c r="L20" s="155" t="n">
        <f aca="false">M20+N20</f>
        <v>4643.1</v>
      </c>
      <c r="M20" s="155" t="n">
        <f aca="false">2986.2+1656.9</f>
        <v>4643.1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23</v>
      </c>
      <c r="I21" s="160" t="n">
        <v>17</v>
      </c>
      <c r="J21" s="160" t="n">
        <v>23</v>
      </c>
      <c r="K21" s="161" t="n">
        <v>30113.95</v>
      </c>
      <c r="L21" s="161" t="n">
        <f aca="false">M21+N21</f>
        <v>21199.65</v>
      </c>
      <c r="M21" s="161" t="n">
        <v>21199.65</v>
      </c>
      <c r="N21" s="190"/>
      <c r="O21" s="163" t="n">
        <v>19</v>
      </c>
      <c r="P21" s="161" t="n">
        <v>43580.22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3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4</v>
      </c>
      <c r="P22" s="155" t="n">
        <v>4052.6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32</v>
      </c>
      <c r="I23" s="160" t="n">
        <v>25</v>
      </c>
      <c r="J23" s="160" t="n">
        <v>41</v>
      </c>
      <c r="K23" s="161" t="n">
        <v>59451.25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29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9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27</v>
      </c>
      <c r="I27" s="160" t="n">
        <v>25</v>
      </c>
      <c r="J27" s="160" t="n">
        <v>41</v>
      </c>
      <c r="K27" s="161" t="n">
        <v>77966.2</v>
      </c>
      <c r="L27" s="161" t="n">
        <f aca="false">M27+N27</f>
        <v>68607.98</v>
      </c>
      <c r="M27" s="161" t="n">
        <v>68607.98</v>
      </c>
      <c r="N27" s="190"/>
      <c r="O27" s="151" t="n">
        <v>8</v>
      </c>
      <c r="P27" s="149" t="n">
        <v>21503.23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6</v>
      </c>
      <c r="J28" s="165" t="n">
        <v>6</v>
      </c>
      <c r="K28" s="166" t="n">
        <v>5888.45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</f>
        <v>38495.8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10</v>
      </c>
      <c r="I33" s="160" t="n">
        <v>4</v>
      </c>
      <c r="J33" s="160" t="n">
        <v>5</v>
      </c>
      <c r="K33" s="161" t="n">
        <v>11806.61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4</v>
      </c>
      <c r="J34" s="165" t="n">
        <v>4</v>
      </c>
      <c r="K34" s="166" t="n">
        <v>9718.14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24</v>
      </c>
      <c r="I43" s="160" t="n">
        <v>16</v>
      </c>
      <c r="J43" s="160" t="n">
        <v>22</v>
      </c>
      <c r="K43" s="161" t="n">
        <v>47687.33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19654.4</v>
      </c>
      <c r="Q46" s="149" t="n">
        <f aca="false">R46+S46</f>
        <v>36186.09</v>
      </c>
      <c r="R46" s="166" t="n">
        <f aca="false">19654.4+16319.08+212.61</f>
        <v>36186.09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6989.68</v>
      </c>
      <c r="M48" s="155" t="n">
        <f aca="false">5885.08+1104.6</f>
        <v>6989.68</v>
      </c>
      <c r="N48" s="156"/>
      <c r="O48" s="157" t="n">
        <v>7</v>
      </c>
      <c r="P48" s="155" t="n">
        <v>17663.63</v>
      </c>
      <c r="Q48" s="155" t="n">
        <f aca="false">R48+S48</f>
        <v>18952.33</v>
      </c>
      <c r="R48" s="155" t="n">
        <f aca="false">16697.1+966.53+1288.7</f>
        <v>18952.33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60</v>
      </c>
      <c r="I53" s="148" t="n">
        <v>53</v>
      </c>
      <c r="J53" s="148" t="n">
        <v>56</v>
      </c>
      <c r="K53" s="149" t="n">
        <v>77229.87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8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39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10</v>
      </c>
      <c r="I57" s="160" t="n">
        <v>6</v>
      </c>
      <c r="J57" s="160" t="n">
        <v>8</v>
      </c>
      <c r="K57" s="161" t="n">
        <v>19321.5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6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10</v>
      </c>
      <c r="P58" s="166" t="n">
        <v>31036.19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8</v>
      </c>
      <c r="I59" s="148" t="n">
        <v>5</v>
      </c>
      <c r="J59" s="148" t="n">
        <v>8</v>
      </c>
      <c r="K59" s="149" t="n">
        <v>25539.57</v>
      </c>
      <c r="L59" s="149" t="n">
        <f aca="false">M59+N59</f>
        <v>22291.35</v>
      </c>
      <c r="M59" s="149"/>
      <c r="N59" s="150" t="n">
        <v>22291.35</v>
      </c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12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8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9</v>
      </c>
      <c r="I63" s="148" t="n">
        <v>4</v>
      </c>
      <c r="J63" s="148" t="n">
        <v>4</v>
      </c>
      <c r="K63" s="149" t="n">
        <v>1638.66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8</v>
      </c>
      <c r="I64" s="154" t="n">
        <v>4</v>
      </c>
      <c r="J64" s="154" t="n">
        <v>4</v>
      </c>
      <c r="K64" s="155" t="n">
        <v>6783.7</v>
      </c>
      <c r="L64" s="155" t="n">
        <f aca="false">M64+N64</f>
        <v>6850.85</v>
      </c>
      <c r="M64" s="155" t="n">
        <f aca="false">5286+1564.85</f>
        <v>6850.85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9</v>
      </c>
      <c r="J67" s="148" t="n">
        <v>13</v>
      </c>
      <c r="K67" s="149" t="n">
        <v>27655.63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10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15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31</v>
      </c>
      <c r="I71" s="148" t="n">
        <v>24</v>
      </c>
      <c r="J71" s="148" t="n">
        <v>31</v>
      </c>
      <c r="K71" s="149" t="n">
        <v>65336.13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39</v>
      </c>
      <c r="I73" s="160" t="n">
        <v>27</v>
      </c>
      <c r="J73" s="160" t="n">
        <v>35</v>
      </c>
      <c r="K73" s="161" t="n">
        <v>74580.45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18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18</v>
      </c>
      <c r="I81" s="148" t="n">
        <v>9</v>
      </c>
      <c r="J81" s="148" t="n">
        <v>9</v>
      </c>
      <c r="K81" s="149" t="n">
        <v>32053.43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3171.6</v>
      </c>
      <c r="Q84" s="166" t="n">
        <f aca="false">R84+S84</f>
        <v>4748.3</v>
      </c>
      <c r="R84" s="166" t="n">
        <f aca="false">2907.3+1841</f>
        <v>4748.3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10</v>
      </c>
      <c r="P85" s="149" t="n">
        <v>30652.75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1841</v>
      </c>
      <c r="M86" s="166" t="n">
        <f aca="false">1841</f>
        <v>1841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13</v>
      </c>
      <c r="I89" s="148" t="n">
        <v>6</v>
      </c>
      <c r="J89" s="148" t="n">
        <v>8</v>
      </c>
      <c r="K89" s="149" t="n">
        <v>11254.45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40</v>
      </c>
      <c r="I90" s="165" t="n">
        <v>38</v>
      </c>
      <c r="J90" s="165" t="n">
        <v>38</v>
      </c>
      <c r="K90" s="166" t="n">
        <v>45200.1</v>
      </c>
      <c r="L90" s="166" t="n">
        <v>45200.1</v>
      </c>
      <c r="M90" s="166" t="n">
        <v>45200.1</v>
      </c>
      <c r="N90" s="156"/>
      <c r="O90" s="168" t="n">
        <v>39</v>
      </c>
      <c r="P90" s="166" t="n">
        <v>76064.67</v>
      </c>
      <c r="Q90" s="166" t="n">
        <v>74775.97</v>
      </c>
      <c r="R90" s="166" t="n">
        <v>74775.97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8</v>
      </c>
      <c r="I91" s="148" t="n">
        <v>6</v>
      </c>
      <c r="J91" s="148" t="n">
        <v>7</v>
      </c>
      <c r="K91" s="149" t="n">
        <v>10742.58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10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16</v>
      </c>
      <c r="I93" s="148" t="n">
        <v>9</v>
      </c>
      <c r="J93" s="148" t="n">
        <v>12</v>
      </c>
      <c r="K93" s="149" t="n">
        <v>29565.29</v>
      </c>
      <c r="L93" s="149" t="n">
        <f aca="false">M93+N93</f>
        <v>17007.72</v>
      </c>
      <c r="M93" s="149" t="n">
        <v>17007.72</v>
      </c>
      <c r="N93" s="190"/>
      <c r="O93" s="151" t="n">
        <v>17</v>
      </c>
      <c r="P93" s="149" t="n">
        <v>56917.37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12</v>
      </c>
      <c r="I97" s="160" t="n">
        <v>9</v>
      </c>
      <c r="J97" s="160" t="n">
        <v>13</v>
      </c>
      <c r="K97" s="161" t="n">
        <v>22159.57</v>
      </c>
      <c r="L97" s="161" t="n">
        <f aca="false">M97+N97</f>
        <v>11231.55</v>
      </c>
      <c r="M97" s="161" t="n">
        <v>11231.55</v>
      </c>
      <c r="N97" s="190"/>
      <c r="O97" s="163" t="n">
        <v>9</v>
      </c>
      <c r="P97" s="161" t="n">
        <v>62858.94</v>
      </c>
      <c r="Q97" s="161" t="n">
        <f aca="false">R97+S97</f>
        <v>51100.74</v>
      </c>
      <c r="R97" s="161" t="n">
        <v>51100.74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37</v>
      </c>
      <c r="I101" s="160" t="n">
        <v>28</v>
      </c>
      <c r="J101" s="160" t="n">
        <v>32</v>
      </c>
      <c r="K101" s="161" t="n">
        <v>63185.25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9</v>
      </c>
      <c r="P102" s="166" t="n">
        <v>23170.3</v>
      </c>
      <c r="Q102" s="166" t="n">
        <f aca="false">R102+S102</f>
        <v>28929.2</v>
      </c>
      <c r="R102" s="166" t="n">
        <f aca="false">21936.9+1233.4+5758.9</f>
        <v>28929.2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24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3</v>
      </c>
      <c r="P103" s="149" t="n">
        <v>18333.88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13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10</v>
      </c>
      <c r="P105" s="149" t="n">
        <v>50989.25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9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10</v>
      </c>
      <c r="I108" s="160" t="n">
        <v>6</v>
      </c>
      <c r="J108" s="160" t="n">
        <v>8</v>
      </c>
      <c r="K108" s="161" t="n">
        <v>16525.47</v>
      </c>
      <c r="L108" s="161" t="n">
        <f aca="false">M108+N108</f>
        <v>11123.42</v>
      </c>
      <c r="M108" s="161" t="n">
        <v>11123.42</v>
      </c>
      <c r="N108" s="190"/>
      <c r="O108" s="163" t="n">
        <v>11</v>
      </c>
      <c r="P108" s="161" t="n">
        <v>40851.54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9</v>
      </c>
      <c r="I110" s="148" t="n">
        <v>6</v>
      </c>
      <c r="J110" s="148" t="n">
        <v>8</v>
      </c>
      <c r="K110" s="149" t="n">
        <v>10898.87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34</v>
      </c>
      <c r="I112" s="148" t="n">
        <v>31</v>
      </c>
      <c r="J112" s="148" t="n">
        <v>41</v>
      </c>
      <c r="K112" s="149" t="n">
        <v>57194.52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6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16</v>
      </c>
      <c r="I116" s="160" t="n">
        <v>10</v>
      </c>
      <c r="J116" s="160" t="n">
        <v>11</v>
      </c>
      <c r="K116" s="161" t="n">
        <v>11822.95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0</v>
      </c>
      <c r="M117" s="155"/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35</v>
      </c>
      <c r="I118" s="160" t="n">
        <v>28</v>
      </c>
      <c r="J118" s="160" t="n">
        <v>40</v>
      </c>
      <c r="K118" s="161" t="n">
        <v>77493.29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42</v>
      </c>
      <c r="I122" s="148" t="n">
        <v>27</v>
      </c>
      <c r="J122" s="148" t="n">
        <v>34</v>
      </c>
      <c r="K122" s="149" t="n">
        <v>41545.36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28</v>
      </c>
      <c r="I123" s="165" t="n">
        <v>19</v>
      </c>
      <c r="J123" s="165" t="n">
        <v>19</v>
      </c>
      <c r="K123" s="166" t="n">
        <v>21121.69</v>
      </c>
      <c r="L123" s="166" t="n">
        <v>18912.49</v>
      </c>
      <c r="M123" s="166" t="n">
        <v>18912.49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30</v>
      </c>
      <c r="I124" s="148" t="n">
        <v>21</v>
      </c>
      <c r="J124" s="148" t="n">
        <v>30</v>
      </c>
      <c r="K124" s="149" t="n">
        <v>132028.45</v>
      </c>
      <c r="L124" s="149" t="n">
        <f aca="false">M124+N124</f>
        <v>78634.92</v>
      </c>
      <c r="M124" s="149" t="n">
        <v>78634.92</v>
      </c>
      <c r="N124" s="190"/>
      <c r="O124" s="151" t="n">
        <v>22</v>
      </c>
      <c r="P124" s="149" t="n">
        <v>74402.24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41</v>
      </c>
      <c r="I126" s="160" t="n">
        <v>18</v>
      </c>
      <c r="J126" s="160" t="n">
        <v>20</v>
      </c>
      <c r="K126" s="161" t="n">
        <v>71054.41</v>
      </c>
      <c r="L126" s="161" t="n">
        <f aca="false">M126+N126</f>
        <v>33685.02</v>
      </c>
      <c r="M126" s="161" t="n">
        <v>33685.02</v>
      </c>
      <c r="N126" s="190"/>
      <c r="O126" s="163" t="n">
        <v>22</v>
      </c>
      <c r="P126" s="161" t="n">
        <v>156279.23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14284.03</v>
      </c>
      <c r="Q132" s="155" t="n">
        <f aca="false">R132+S132</f>
        <v>14284.03</v>
      </c>
      <c r="R132" s="155" t="n">
        <f aca="false">1585.8+1585.8+6070.83+5041.6</f>
        <v>14284.03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23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38</v>
      </c>
      <c r="I137" s="148" t="n">
        <v>29</v>
      </c>
      <c r="J137" s="148" t="n">
        <v>37</v>
      </c>
      <c r="K137" s="149" t="n">
        <v>96989.14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19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17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6607.5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9</v>
      </c>
      <c r="I145" s="148" t="n">
        <v>5</v>
      </c>
      <c r="J145" s="148" t="n">
        <v>6</v>
      </c>
      <c r="K145" s="149" t="n">
        <v>5059.87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8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24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9</v>
      </c>
      <c r="P147" s="161" t="n">
        <v>31735.04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8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8</v>
      </c>
      <c r="I149" s="148" t="n">
        <v>5</v>
      </c>
      <c r="J149" s="148" t="n">
        <v>7</v>
      </c>
      <c r="K149" s="149" t="n">
        <v>14471.69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3</v>
      </c>
      <c r="I151" s="148"/>
      <c r="J151" s="148"/>
      <c r="K151" s="149"/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5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3</v>
      </c>
      <c r="I153" s="160" t="n">
        <v>1</v>
      </c>
      <c r="J153" s="160" t="n">
        <v>1</v>
      </c>
      <c r="K153" s="161" t="n">
        <v>21512.83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4</v>
      </c>
      <c r="J157" s="160" t="n">
        <v>5</v>
      </c>
      <c r="K157" s="161" t="n">
        <v>7292.31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1104.6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15</v>
      </c>
      <c r="I159" s="148" t="n">
        <v>14</v>
      </c>
      <c r="J159" s="148" t="n">
        <v>17</v>
      </c>
      <c r="K159" s="149" t="n">
        <v>39506.71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31</v>
      </c>
      <c r="I161" s="148" t="n">
        <v>27</v>
      </c>
      <c r="J161" s="193" t="n">
        <v>33</v>
      </c>
      <c r="K161" s="149" t="n">
        <v>41438.77</v>
      </c>
      <c r="L161" s="149" t="n">
        <f aca="false">M161+N161</f>
        <v>37553.38</v>
      </c>
      <c r="M161" s="149" t="n">
        <v>37553.38</v>
      </c>
      <c r="N161" s="190"/>
      <c r="O161" s="163" t="n">
        <v>20</v>
      </c>
      <c r="P161" s="161" t="n">
        <v>137061.93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26</v>
      </c>
      <c r="I165" s="160" t="n">
        <v>25</v>
      </c>
      <c r="J165" s="160" t="n">
        <v>36</v>
      </c>
      <c r="K165" s="140" t="n">
        <v>90768.99</v>
      </c>
      <c r="L165" s="140" t="n">
        <f aca="false">M165+N165</f>
        <v>71945.49</v>
      </c>
      <c r="M165" s="140" t="n">
        <v>71945.49</v>
      </c>
      <c r="N165" s="190"/>
      <c r="O165" s="163" t="n">
        <v>8</v>
      </c>
      <c r="P165" s="161" t="n">
        <v>32481.19</v>
      </c>
      <c r="Q165" s="161" t="n">
        <f aca="false">R165+S165</f>
        <v>29719.69</v>
      </c>
      <c r="R165" s="161" t="n">
        <v>29719.69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5797.48</v>
      </c>
      <c r="R169" s="161"/>
      <c r="S169" s="190" t="n">
        <v>5797.48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23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16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7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11276.8</v>
      </c>
      <c r="Q183" s="166" t="n">
        <f aca="false">R183+S183</f>
        <v>11276.8</v>
      </c>
      <c r="R183" s="166" t="n">
        <f aca="false">11276.8</f>
        <v>11276.8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1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7</v>
      </c>
      <c r="I189" s="200" t="n">
        <v>5</v>
      </c>
      <c r="J189" s="200" t="n">
        <v>5</v>
      </c>
      <c r="K189" s="201" t="n">
        <v>10814.36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44</v>
      </c>
      <c r="I192" s="148" t="n">
        <v>43</v>
      </c>
      <c r="J192" s="148" t="n">
        <v>61</v>
      </c>
      <c r="K192" s="149" t="n">
        <v>95854.47</v>
      </c>
      <c r="L192" s="149" t="n">
        <f aca="false">M192+N192</f>
        <v>89688.59</v>
      </c>
      <c r="M192" s="149" t="n">
        <v>89688.59</v>
      </c>
      <c r="N192" s="190"/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9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11</v>
      </c>
      <c r="I195" s="165" t="n">
        <v>6</v>
      </c>
      <c r="J195" s="165" t="n">
        <v>6</v>
      </c>
      <c r="K195" s="166" t="n">
        <v>8284.5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24</v>
      </c>
      <c r="I196" s="148" t="n">
        <v>15</v>
      </c>
      <c r="J196" s="148" t="n">
        <v>16</v>
      </c>
      <c r="K196" s="149" t="n">
        <v>27701.57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53</v>
      </c>
      <c r="I198" s="148" t="n">
        <v>37</v>
      </c>
      <c r="J198" s="148" t="n">
        <v>37</v>
      </c>
      <c r="K198" s="149" t="n">
        <v>43241.42</v>
      </c>
      <c r="L198" s="149" t="n">
        <f aca="false">M198+N198</f>
        <v>30664.96</v>
      </c>
      <c r="M198" s="149" t="n">
        <v>30664.96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16</v>
      </c>
      <c r="I199" s="154" t="n">
        <v>11</v>
      </c>
      <c r="J199" s="154" t="n">
        <v>11</v>
      </c>
      <c r="K199" s="155" t="n">
        <v>12266.21</v>
      </c>
      <c r="L199" s="155" t="n">
        <f aca="false">M199+N199</f>
        <v>12266.21</v>
      </c>
      <c r="M199" s="155" t="n">
        <v>12266.21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25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16</v>
      </c>
      <c r="J201" s="165" t="n">
        <v>16</v>
      </c>
      <c r="K201" s="166" t="n">
        <v>38538.88</v>
      </c>
      <c r="L201" s="166" t="n">
        <v>32666.09</v>
      </c>
      <c r="M201" s="166" t="n">
        <v>32666.09</v>
      </c>
      <c r="N201" s="156"/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31</v>
      </c>
      <c r="I202" s="148" t="n">
        <v>26</v>
      </c>
      <c r="J202" s="148" t="n">
        <v>32</v>
      </c>
      <c r="K202" s="149" t="n">
        <v>34874.57</v>
      </c>
      <c r="L202" s="149" t="n">
        <f aca="false">M202+N202</f>
        <v>23180.8</v>
      </c>
      <c r="M202" s="149" t="n">
        <v>23180.8</v>
      </c>
      <c r="N202" s="190"/>
      <c r="O202" s="151" t="n">
        <v>27</v>
      </c>
      <c r="P202" s="149" t="n">
        <v>83185.53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7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21</v>
      </c>
      <c r="I212" s="160" t="n">
        <v>17</v>
      </c>
      <c r="J212" s="160" t="n">
        <v>28</v>
      </c>
      <c r="K212" s="161" t="n">
        <v>62675.5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7984.73</v>
      </c>
      <c r="M214" s="149" t="n">
        <v>7984.73</v>
      </c>
      <c r="N214" s="190"/>
      <c r="O214" s="151" t="n">
        <v>3</v>
      </c>
      <c r="P214" s="149" t="n">
        <v>5504.35</v>
      </c>
      <c r="Q214" s="149" t="n">
        <f aca="false">R214+S214</f>
        <v>4329.79</v>
      </c>
      <c r="R214" s="149" t="n">
        <v>4329.79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5</v>
      </c>
      <c r="I215" s="165" t="n">
        <v>2</v>
      </c>
      <c r="J215" s="165" t="n">
        <v>2</v>
      </c>
      <c r="K215" s="166" t="n">
        <v>3618.8</v>
      </c>
      <c r="L215" s="166" t="n">
        <f aca="false">M215+N215</f>
        <v>1409.6</v>
      </c>
      <c r="M215" s="166" t="n">
        <f aca="false">1409.6</f>
        <v>1409.6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10</v>
      </c>
      <c r="P217" s="166" t="n">
        <v>39972.62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23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25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12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s">
        <v>306</v>
      </c>
      <c r="Q223" s="166" t="n">
        <f aca="false">R223+S223</f>
        <v>13991.6</v>
      </c>
      <c r="R223" s="166" t="n">
        <f aca="false">6995.8+1288.7+5707.1</f>
        <v>13991.6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1</v>
      </c>
      <c r="I224" s="148"/>
      <c r="J224" s="148"/>
      <c r="K224" s="149"/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7</v>
      </c>
      <c r="I227" s="154" t="n">
        <v>3</v>
      </c>
      <c r="J227" s="154" t="n">
        <v>3</v>
      </c>
      <c r="K227" s="155" t="n">
        <v>4858.32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24</v>
      </c>
      <c r="I228" s="160" t="n">
        <v>22</v>
      </c>
      <c r="J228" s="160" t="n">
        <v>33</v>
      </c>
      <c r="K228" s="161" t="n">
        <v>49999.33</v>
      </c>
      <c r="L228" s="161" t="n">
        <f aca="false">M228+N228</f>
        <v>45981.11</v>
      </c>
      <c r="M228" s="161" t="n">
        <v>45981.11</v>
      </c>
      <c r="N228" s="190"/>
      <c r="O228" s="163" t="n">
        <v>12</v>
      </c>
      <c r="P228" s="161" t="n">
        <v>72912.46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0</v>
      </c>
      <c r="M229" s="166"/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7</v>
      </c>
      <c r="I230" s="148" t="n">
        <v>5</v>
      </c>
      <c r="J230" s="148" t="n">
        <v>5</v>
      </c>
      <c r="K230" s="149" t="n">
        <v>6613.73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6</v>
      </c>
      <c r="P232" s="161" t="n">
        <v>10969.43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5</v>
      </c>
      <c r="J233" s="165" t="n">
        <v>5</v>
      </c>
      <c r="K233" s="166" t="n">
        <v>10225.1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14903.5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3171.6</v>
      </c>
      <c r="M235" s="155" t="n">
        <f aca="false">3171.6</f>
        <v>3171.6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4</v>
      </c>
      <c r="J237" s="165" t="n">
        <v>4</v>
      </c>
      <c r="K237" s="166" t="n">
        <v>9664.55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9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17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7366.4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2</v>
      </c>
      <c r="P242" s="149" t="n">
        <v>15606.38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7648.67</v>
      </c>
      <c r="M244" s="149" t="n">
        <v>7648.67</v>
      </c>
      <c r="N244" s="224"/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3</v>
      </c>
      <c r="J245" s="154" t="n">
        <v>3</v>
      </c>
      <c r="K245" s="155" t="n">
        <v>4166.84</v>
      </c>
      <c r="L245" s="155" t="n">
        <v>3614.54</v>
      </c>
      <c r="M245" s="155" t="n">
        <v>3614.54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5</v>
      </c>
      <c r="P246" s="161" t="n">
        <v>18277.74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11408.7</v>
      </c>
      <c r="M247" s="166" t="n">
        <f aca="false">528.6+3700.2+1288.7+3497.9+2393.3</f>
        <v>11408.7</v>
      </c>
      <c r="N247" s="167"/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1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2507</v>
      </c>
      <c r="I252" s="214" t="n">
        <f aca="false">SUM(I9:I251)</f>
        <v>1584</v>
      </c>
      <c r="J252" s="214" t="n">
        <f aca="false">SUM(J9:J251)</f>
        <v>1928</v>
      </c>
      <c r="K252" s="215" t="n">
        <f aca="false">SUM(K9:K251)</f>
        <v>3414011.89</v>
      </c>
      <c r="L252" s="215" t="n">
        <f aca="false">SUM(L9:L251)</f>
        <v>2652568.91</v>
      </c>
      <c r="M252" s="215" t="n">
        <f aca="false">SUM(M9:M251)</f>
        <v>2580868.81</v>
      </c>
      <c r="N252" s="243" t="n">
        <f aca="false">SUM(N9:N251)</f>
        <v>71694.6</v>
      </c>
      <c r="O252" s="244" t="n">
        <f aca="false">SUM(O9:O251)</f>
        <v>1196</v>
      </c>
      <c r="P252" s="245" t="n">
        <f aca="false">SUM(P9:P251)</f>
        <v>4426194.44</v>
      </c>
      <c r="Q252" s="245" t="n">
        <f aca="false">SUM(Q9:Q251)</f>
        <v>4154462.03</v>
      </c>
      <c r="R252" s="245" t="n">
        <f aca="false">SUM(R9:R251)</f>
        <v>4081016.03</v>
      </c>
      <c r="S252" s="246" t="n">
        <f aca="false">SUM(S9:S251)</f>
        <v>84123.8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1705</v>
      </c>
      <c r="H258" s="108" t="n">
        <f aca="false">SUMIF($G$9:$G$251,$F$258,I9:I251)</f>
        <v>1191</v>
      </c>
      <c r="I258" s="108" t="n">
        <f aca="false">SUMIF($G$9:$G$251,$F$258,J9:J251)</f>
        <v>1531</v>
      </c>
      <c r="J258" s="110" t="n">
        <f aca="false">SUMIF($G$9:$G$251,F258,$K$9:$K$251)</f>
        <v>2738678.06</v>
      </c>
      <c r="K258" s="110" t="n">
        <f aca="false">SUMIF($G$9:$G$251,$F$258,L9:L251)</f>
        <v>2080261.77</v>
      </c>
      <c r="L258" s="110" t="n">
        <f aca="false">SUMIF($G$9:$G$251,$F$258,M9:M251)</f>
        <v>2008567.17</v>
      </c>
      <c r="M258" s="110" t="n">
        <f aca="false">SUMIF($G$9:$G$251,$F$258,N9:N251)</f>
        <v>71694.6</v>
      </c>
      <c r="N258" s="108" t="n">
        <f aca="false">SUMIF($G$9:$G$251,$F$258,O9:O251)</f>
        <v>801</v>
      </c>
      <c r="O258" s="110" t="n">
        <f aca="false">SUMIF($G$9:$G$251,F258,$P$9:$P$251)</f>
        <v>3410120.35</v>
      </c>
      <c r="P258" s="110" t="n">
        <f aca="false">SUMIF($G$9:$G$251,$F$258,Q9:Q251)</f>
        <v>3097276.41</v>
      </c>
      <c r="Q258" s="110" t="n">
        <f aca="false">SUMIF($G$9:$G$251,$F$258,R9:R251)</f>
        <v>3013152.61</v>
      </c>
      <c r="R258" s="110" t="n">
        <f aca="false">SUMIF($G$9:$G$251,$F$258,S9:S251)</f>
        <v>84123.8</v>
      </c>
      <c r="S258" s="110" t="n">
        <f aca="false">Q258+L258</f>
        <v>5021719.78</v>
      </c>
      <c r="T258" s="111" t="n">
        <f aca="false">J258-L258+O258-Q258</f>
        <v>1127078.63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524</v>
      </c>
      <c r="H259" s="108" t="n">
        <f aca="false">SUMIF($G$9:$G$251,$F$259,I9:I251)</f>
        <v>225</v>
      </c>
      <c r="I259" s="108" t="n">
        <f aca="false">SUMIF($G$9:$G$251,$F$259,J9:J251)</f>
        <v>229</v>
      </c>
      <c r="J259" s="110" t="n">
        <f aca="false">SUMIF($G$9:$G$251,F259,$K$9:$K$251)</f>
        <v>451713.39</v>
      </c>
      <c r="K259" s="110" t="n">
        <f aca="false">SUMIF($G$9:$G$251,$F$259,L9:L251)</f>
        <v>357320.99</v>
      </c>
      <c r="L259" s="110" t="n">
        <f aca="false">SUMIF($G$9:$G$251,$F$259,M9:M251)</f>
        <v>357315.49</v>
      </c>
      <c r="M259" s="110" t="n">
        <f aca="false">SUMIF($G$9:$G$251,$F$259,N9:N251)</f>
        <v>0</v>
      </c>
      <c r="N259" s="108" t="n">
        <f aca="false">SUMIF($G$9:$G$251,$F$259,O9:O251)</f>
        <v>288</v>
      </c>
      <c r="O259" s="110" t="n">
        <f aca="false">SUMIF($G$9:$G$251,F259,$P$9:$P$251)</f>
        <v>789945.29</v>
      </c>
      <c r="P259" s="110" t="n">
        <f aca="false">SUMIF($G$9:$G$251,$F$259,Q9:Q251)</f>
        <v>832345.52</v>
      </c>
      <c r="Q259" s="110" t="n">
        <f aca="false">SUMIF($G$9:$G$251,$F$259,R9:R251)</f>
        <v>843023.32</v>
      </c>
      <c r="R259" s="110" t="n">
        <f aca="false">SUMIF($G$9:$G$251,$F$259,S9:S251)</f>
        <v>0</v>
      </c>
      <c r="S259" s="110" t="n">
        <f aca="false">Q259+L259</f>
        <v>1200338.81</v>
      </c>
      <c r="T259" s="111" t="n">
        <f aca="false">J259-L259+O259-Q259</f>
        <v>41319.8699999999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278</v>
      </c>
      <c r="H260" s="108" t="n">
        <f aca="false">SUMIF($G$9:$G$251,$F$260,I9:I251)</f>
        <v>168</v>
      </c>
      <c r="I260" s="108" t="n">
        <f aca="false">SUMIF($G$9:$G$251,$F$260,J9:J251)</f>
        <v>168</v>
      </c>
      <c r="J260" s="110" t="n">
        <f aca="false">SUMIF($G$9:$G$251,F260,$K$9:$K$251)</f>
        <v>223620.44</v>
      </c>
      <c r="K260" s="110" t="n">
        <f aca="false">SUMIF($G$9:$G$251,$F$260,L9:L251)</f>
        <v>214986.15</v>
      </c>
      <c r="L260" s="110" t="n">
        <f aca="false">SUMIF($G$9:$G$251,$F$260,M9:M251)</f>
        <v>214986.15</v>
      </c>
      <c r="M260" s="110" t="n">
        <f aca="false">SUMIF($G$9:$G$251,$F$260,N9:N251)</f>
        <v>0</v>
      </c>
      <c r="N260" s="108" t="n">
        <f aca="false">SUMIF($G$9:$G$251,$F$260,O9:O251)</f>
        <v>107</v>
      </c>
      <c r="O260" s="110" t="n">
        <f aca="false">SUMIF($G$9:$G$251,F260,$P$9:$P$251)</f>
        <v>226128.8</v>
      </c>
      <c r="P260" s="110" t="n">
        <f aca="false">SUMIF($G$9:$G$251,$F$260,Q9:Q251)</f>
        <v>224840.1</v>
      </c>
      <c r="Q260" s="110" t="n">
        <f aca="false">SUMIF($G$9:$G$251,$F$260,R9:R251)</f>
        <v>224840.1</v>
      </c>
      <c r="R260" s="110" t="n">
        <f aca="false">SUMIF($G$9:$G$251,$F$260,S9:S251)</f>
        <v>0</v>
      </c>
      <c r="S260" s="110" t="n">
        <f aca="false">Q260+L260</f>
        <v>439826.25</v>
      </c>
      <c r="T260" s="111" t="n">
        <f aca="false">J260-L260+O260-Q260</f>
        <v>9922.98999999999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2507</v>
      </c>
      <c r="H261" s="216" t="n">
        <f aca="false">H260+H259+H258</f>
        <v>1584</v>
      </c>
      <c r="I261" s="216" t="n">
        <f aca="false">I260+I259+I258</f>
        <v>1928</v>
      </c>
      <c r="J261" s="217" t="n">
        <f aca="false">J260+J259+J258</f>
        <v>3414011.89</v>
      </c>
      <c r="K261" s="217" t="n">
        <f aca="false">K260+K259+K258</f>
        <v>2652568.91</v>
      </c>
      <c r="L261" s="217" t="n">
        <f aca="false">L260+L259+L258</f>
        <v>2580868.81</v>
      </c>
      <c r="M261" s="217" t="n">
        <f aca="false">M260+M259+M258</f>
        <v>71694.6</v>
      </c>
      <c r="N261" s="216" t="n">
        <f aca="false">N260+N259+N258</f>
        <v>1196</v>
      </c>
      <c r="O261" s="217" t="n">
        <f aca="false">O260+O259+O258</f>
        <v>4426194.44</v>
      </c>
      <c r="P261" s="217" t="n">
        <f aca="false">P260+P259+P258</f>
        <v>4154462.03</v>
      </c>
      <c r="Q261" s="217" t="n">
        <f aca="false">Q260+Q259+Q258</f>
        <v>4081016.03</v>
      </c>
      <c r="R261" s="217" t="n">
        <f aca="false">R260+R259+R258</f>
        <v>84123.8</v>
      </c>
      <c r="S261" s="217" t="n">
        <f aca="false">S260+S259+S258</f>
        <v>6661884.84</v>
      </c>
      <c r="T261" s="217" t="n">
        <f aca="false">T260+T259+T258</f>
        <v>1178321.49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1705</v>
      </c>
      <c r="H322" s="247" t="n">
        <v>1191</v>
      </c>
      <c r="I322" s="247" t="n">
        <v>1531</v>
      </c>
      <c r="J322" s="0" t="n">
        <v>2738678.06</v>
      </c>
      <c r="K322" s="236"/>
      <c r="N322" s="0" t="n">
        <v>801</v>
      </c>
      <c r="O322" s="0" t="n">
        <v>3410120.35</v>
      </c>
    </row>
    <row r="323" customFormat="false" ht="15" hidden="false" customHeight="false" outlineLevel="0" collapsed="false">
      <c r="G323" s="221" t="n">
        <f aca="false">G258-G322</f>
        <v>0</v>
      </c>
      <c r="H323" s="221" t="n">
        <f aca="false">H258-H322</f>
        <v>0</v>
      </c>
      <c r="I323" s="221" t="n">
        <f aca="false">I258-I322</f>
        <v>0</v>
      </c>
      <c r="J323" s="229" t="n">
        <f aca="false">J258-J322</f>
        <v>0</v>
      </c>
      <c r="K323" s="236"/>
      <c r="N323" s="221" t="n">
        <f aca="false">N258-N322</f>
        <v>0</v>
      </c>
      <c r="O323" s="229" t="n">
        <f aca="false">O258-O322</f>
        <v>0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3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28</v>
      </c>
      <c r="I11" s="160" t="n">
        <v>20</v>
      </c>
      <c r="J11" s="160" t="n">
        <v>35</v>
      </c>
      <c r="K11" s="161" t="n">
        <v>76881.26</v>
      </c>
      <c r="L11" s="161" t="n">
        <f aca="false">M11+N11</f>
        <v>71801.93</v>
      </c>
      <c r="M11" s="161" t="n">
        <v>71801.93</v>
      </c>
      <c r="N11" s="239"/>
      <c r="O11" s="151" t="n">
        <v>10</v>
      </c>
      <c r="P11" s="149" t="n">
        <v>44135.02</v>
      </c>
      <c r="Q11" s="149" t="n">
        <f aca="false">R11+S11</f>
        <v>39893.36</v>
      </c>
      <c r="R11" s="149" t="n">
        <v>39893.36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1</v>
      </c>
      <c r="J12" s="165" t="n">
        <v>1</v>
      </c>
      <c r="K12" s="166" t="n">
        <v>1841</v>
      </c>
      <c r="L12" s="166" t="n">
        <f aca="false">M12+N12</f>
        <v>1841</v>
      </c>
      <c r="M12" s="166"/>
      <c r="N12" s="226" t="n">
        <f aca="false">1841</f>
        <v>1841</v>
      </c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37</v>
      </c>
      <c r="I13" s="148" t="n">
        <v>30</v>
      </c>
      <c r="J13" s="148" t="n">
        <v>46</v>
      </c>
      <c r="K13" s="149" t="n">
        <v>75001.38</v>
      </c>
      <c r="L13" s="149" t="n">
        <f aca="false">M13+N13</f>
        <v>53490.39</v>
      </c>
      <c r="M13" s="149" t="n">
        <v>53490.39</v>
      </c>
      <c r="N13" s="249"/>
      <c r="O13" s="228" t="n">
        <v>8</v>
      </c>
      <c r="P13" s="161" t="n">
        <v>31855.11</v>
      </c>
      <c r="Q13" s="161" t="n">
        <f aca="false">R13+S13</f>
        <v>21729.06</v>
      </c>
      <c r="R13" s="161" t="n">
        <v>21729.06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6</v>
      </c>
      <c r="J14" s="154" t="n">
        <v>6</v>
      </c>
      <c r="K14" s="155" t="n">
        <v>13416.55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5</v>
      </c>
      <c r="P16" s="166" t="n">
        <v>31011.2</v>
      </c>
      <c r="Q16" s="166" t="n">
        <f aca="false">R16+S16</f>
        <v>25827.9</v>
      </c>
      <c r="R16" s="166" t="n">
        <v>23434.6</v>
      </c>
      <c r="S16" s="167" t="n">
        <f aca="false">2393.3</f>
        <v>2393.3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23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6</v>
      </c>
      <c r="J20" s="154" t="n">
        <v>6</v>
      </c>
      <c r="K20" s="155" t="n">
        <v>4485</v>
      </c>
      <c r="L20" s="155" t="n">
        <f aca="false">M20+N20</f>
        <v>4643.1</v>
      </c>
      <c r="M20" s="155" t="n">
        <f aca="false">2986.2+1656.9</f>
        <v>4643.1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23</v>
      </c>
      <c r="I21" s="160" t="n">
        <v>17</v>
      </c>
      <c r="J21" s="160" t="n">
        <v>23</v>
      </c>
      <c r="K21" s="161" t="n">
        <v>30113.95</v>
      </c>
      <c r="L21" s="161" t="n">
        <f aca="false">M21+N21</f>
        <v>21199.65</v>
      </c>
      <c r="M21" s="161" t="n">
        <v>21199.65</v>
      </c>
      <c r="N21" s="190"/>
      <c r="O21" s="163" t="n">
        <v>20</v>
      </c>
      <c r="P21" s="161" t="n">
        <v>51655.43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3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4</v>
      </c>
      <c r="P22" s="155" t="n">
        <v>4052.6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32</v>
      </c>
      <c r="I23" s="160" t="n">
        <v>25</v>
      </c>
      <c r="J23" s="160" t="n">
        <v>41</v>
      </c>
      <c r="K23" s="161" t="n">
        <v>59451.25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29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11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27</v>
      </c>
      <c r="I27" s="160" t="n">
        <v>25</v>
      </c>
      <c r="J27" s="160" t="n">
        <v>41</v>
      </c>
      <c r="K27" s="161" t="n">
        <v>77966.2</v>
      </c>
      <c r="L27" s="161" t="n">
        <f aca="false">M27+N27</f>
        <v>68607.98</v>
      </c>
      <c r="M27" s="161" t="n">
        <v>68607.98</v>
      </c>
      <c r="N27" s="190"/>
      <c r="O27" s="151" t="n">
        <v>9</v>
      </c>
      <c r="P27" s="149" t="n">
        <v>30370.2</v>
      </c>
      <c r="Q27" s="149" t="n">
        <f aca="false">R27+S27</f>
        <v>20128.87</v>
      </c>
      <c r="R27" s="149" t="n">
        <v>20128.87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6</v>
      </c>
      <c r="J28" s="165" t="n">
        <v>6</v>
      </c>
      <c r="K28" s="166" t="n">
        <v>5888.45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</f>
        <v>38495.8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10</v>
      </c>
      <c r="I33" s="160" t="n">
        <v>4</v>
      </c>
      <c r="J33" s="160" t="n">
        <v>5</v>
      </c>
      <c r="K33" s="161" t="n">
        <v>11806.61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4</v>
      </c>
      <c r="J34" s="165" t="n">
        <v>4</v>
      </c>
      <c r="K34" s="166" t="n">
        <v>9718.14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0</v>
      </c>
      <c r="M35" s="149"/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25</v>
      </c>
      <c r="I43" s="160" t="n">
        <v>16</v>
      </c>
      <c r="J43" s="160" t="n">
        <v>22</v>
      </c>
      <c r="K43" s="161" t="n">
        <v>47687.33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3266.4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19654.4</v>
      </c>
      <c r="Q46" s="149" t="n">
        <f aca="false">R46+S46</f>
        <v>36186.09</v>
      </c>
      <c r="R46" s="166" t="n">
        <f aca="false">19654.4+16319.08+212.61</f>
        <v>36186.09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6989.68</v>
      </c>
      <c r="M48" s="155" t="n">
        <f aca="false">5885.08+1104.6</f>
        <v>6989.68</v>
      </c>
      <c r="N48" s="156"/>
      <c r="O48" s="157" t="n">
        <v>9</v>
      </c>
      <c r="P48" s="155" t="n">
        <v>17663.63</v>
      </c>
      <c r="Q48" s="155" t="n">
        <f aca="false">R48+S48</f>
        <v>18952.33</v>
      </c>
      <c r="R48" s="155" t="n">
        <f aca="false">16697.1+966.53+1288.7</f>
        <v>18952.33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7</v>
      </c>
      <c r="I51" s="160" t="n">
        <v>5</v>
      </c>
      <c r="J51" s="160" t="n">
        <v>7</v>
      </c>
      <c r="K51" s="161" t="n">
        <v>9001.47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61</v>
      </c>
      <c r="I53" s="148" t="n">
        <v>53</v>
      </c>
      <c r="J53" s="148" t="n">
        <v>56</v>
      </c>
      <c r="K53" s="149" t="n">
        <v>77229.87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39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11</v>
      </c>
      <c r="I57" s="160" t="n">
        <v>6</v>
      </c>
      <c r="J57" s="160" t="n">
        <v>8</v>
      </c>
      <c r="K57" s="161" t="n">
        <v>19321.5</v>
      </c>
      <c r="L57" s="161" t="n">
        <f aca="false">M57+N57</f>
        <v>2654.28</v>
      </c>
      <c r="M57" s="161" t="n">
        <v>2654.28</v>
      </c>
      <c r="N57" s="190"/>
      <c r="O57" s="163" t="n">
        <v>4</v>
      </c>
      <c r="P57" s="161" t="n">
        <v>20218.72</v>
      </c>
      <c r="Q57" s="161" t="n">
        <f aca="false">R57+S57</f>
        <v>18745.92</v>
      </c>
      <c r="R57" s="161" t="n">
        <v>18745.92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7</v>
      </c>
      <c r="I58" s="165" t="n">
        <v>2</v>
      </c>
      <c r="J58" s="165" t="n">
        <v>2</v>
      </c>
      <c r="K58" s="166" t="n">
        <v>8789.4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10</v>
      </c>
      <c r="P58" s="166" t="n">
        <v>31036.19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9</v>
      </c>
      <c r="I59" s="148" t="n">
        <v>5</v>
      </c>
      <c r="J59" s="148" t="n">
        <v>8</v>
      </c>
      <c r="K59" s="149" t="n">
        <v>25539.57</v>
      </c>
      <c r="L59" s="149" t="n">
        <f aca="false">M59+N59</f>
        <v>22291.35</v>
      </c>
      <c r="M59" s="149"/>
      <c r="N59" s="150" t="n">
        <v>22291.35</v>
      </c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12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2</v>
      </c>
      <c r="J62" s="165" t="n">
        <v>2</v>
      </c>
      <c r="K62" s="166" t="n">
        <v>2209.2</v>
      </c>
      <c r="L62" s="166" t="n">
        <f aca="false">M62+N62</f>
        <v>0</v>
      </c>
      <c r="M62" s="166"/>
      <c r="N62" s="156"/>
      <c r="O62" s="168" t="n">
        <v>8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11</v>
      </c>
      <c r="I63" s="148" t="n">
        <v>5</v>
      </c>
      <c r="J63" s="148" t="n">
        <v>5</v>
      </c>
      <c r="K63" s="149" t="n">
        <v>2154.14</v>
      </c>
      <c r="L63" s="149" t="n">
        <f aca="false">M63+N63</f>
        <v>881</v>
      </c>
      <c r="M63" s="149" t="n">
        <v>881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9</v>
      </c>
      <c r="I64" s="154" t="n">
        <v>4</v>
      </c>
      <c r="J64" s="154" t="n">
        <v>4</v>
      </c>
      <c r="K64" s="155" t="n">
        <v>6783.7</v>
      </c>
      <c r="L64" s="155" t="n">
        <f aca="false">M64+N64</f>
        <v>6850.85</v>
      </c>
      <c r="M64" s="155" t="n">
        <f aca="false">5286+1564.85</f>
        <v>6850.85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9</v>
      </c>
      <c r="J67" s="148" t="n">
        <v>13</v>
      </c>
      <c r="K67" s="149" t="n">
        <v>27655.63</v>
      </c>
      <c r="L67" s="149" t="n">
        <f aca="false">M67+N67</f>
        <v>3717.82</v>
      </c>
      <c r="M67" s="149" t="n">
        <v>3717.82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11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16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21739.72</v>
      </c>
      <c r="M69" s="161" t="n">
        <v>21739.72</v>
      </c>
      <c r="N69" s="190"/>
      <c r="O69" s="163" t="n">
        <v>11</v>
      </c>
      <c r="P69" s="161" t="n">
        <v>64116.78</v>
      </c>
      <c r="Q69" s="161" t="n">
        <f aca="false">R69+S69</f>
        <v>62059.28</v>
      </c>
      <c r="R69" s="161" t="n">
        <v>62059.28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32</v>
      </c>
      <c r="I71" s="148" t="n">
        <v>24</v>
      </c>
      <c r="J71" s="148" t="n">
        <v>31</v>
      </c>
      <c r="K71" s="149" t="n">
        <v>64923.29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39</v>
      </c>
      <c r="I73" s="160" t="n">
        <v>27</v>
      </c>
      <c r="J73" s="160" t="n">
        <v>35</v>
      </c>
      <c r="K73" s="161" t="n">
        <v>74580.45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19</v>
      </c>
      <c r="I81" s="148" t="n">
        <v>9</v>
      </c>
      <c r="J81" s="148" t="n">
        <v>9</v>
      </c>
      <c r="K81" s="149" t="n">
        <v>32053.43</v>
      </c>
      <c r="L81" s="149" t="n">
        <f aca="false">M81+N81</f>
        <v>24732.4</v>
      </c>
      <c r="M81" s="149" t="n">
        <v>24732.4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3171.6</v>
      </c>
      <c r="Q84" s="166" t="n">
        <f aca="false">R84+S84</f>
        <v>4748.3</v>
      </c>
      <c r="R84" s="166" t="n">
        <f aca="false">2907.3+1841</f>
        <v>4748.3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10</v>
      </c>
      <c r="P85" s="149" t="n">
        <v>30652.75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</f>
        <v>1841</v>
      </c>
      <c r="N86" s="156" t="n">
        <f aca="false">1656.9</f>
        <v>1656.9</v>
      </c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14</v>
      </c>
      <c r="I89" s="148" t="n">
        <v>6</v>
      </c>
      <c r="J89" s="148" t="n">
        <v>8</v>
      </c>
      <c r="K89" s="149" t="n">
        <v>12520.13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40</v>
      </c>
      <c r="I90" s="165" t="n">
        <v>38</v>
      </c>
      <c r="J90" s="165" t="n">
        <v>38</v>
      </c>
      <c r="K90" s="166" t="n">
        <v>45200.1</v>
      </c>
      <c r="L90" s="166" t="n">
        <v>45200.1</v>
      </c>
      <c r="M90" s="166" t="n">
        <v>45200.1</v>
      </c>
      <c r="N90" s="156"/>
      <c r="O90" s="168" t="n">
        <v>39</v>
      </c>
      <c r="P90" s="166" t="n">
        <v>76064.67</v>
      </c>
      <c r="Q90" s="166" t="n">
        <v>74775.97</v>
      </c>
      <c r="R90" s="166" t="n">
        <v>74775.97</v>
      </c>
      <c r="S90" s="156" t="n">
        <v>1288.7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9</v>
      </c>
      <c r="I91" s="148" t="n">
        <v>6</v>
      </c>
      <c r="J91" s="148" t="n">
        <v>7</v>
      </c>
      <c r="K91" s="149" t="n">
        <v>10742.58</v>
      </c>
      <c r="L91" s="149" t="n">
        <f aca="false">M91+N91</f>
        <v>7056.9</v>
      </c>
      <c r="M91" s="149" t="n">
        <v>7056.9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9</v>
      </c>
      <c r="J93" s="148" t="n">
        <v>12</v>
      </c>
      <c r="K93" s="149" t="n">
        <v>29565.29</v>
      </c>
      <c r="L93" s="149" t="n">
        <f aca="false">M93+N93</f>
        <v>17007.72</v>
      </c>
      <c r="M93" s="149" t="n">
        <v>17007.72</v>
      </c>
      <c r="N93" s="190"/>
      <c r="O93" s="151" t="n">
        <v>17</v>
      </c>
      <c r="P93" s="149" t="n">
        <v>56917.37</v>
      </c>
      <c r="Q93" s="149" t="n">
        <f aca="false">R93+S93</f>
        <v>48957.86</v>
      </c>
      <c r="R93" s="149" t="n">
        <v>48957.86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8501.8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13</v>
      </c>
      <c r="I97" s="160" t="n">
        <v>9</v>
      </c>
      <c r="J97" s="160" t="n">
        <v>13</v>
      </c>
      <c r="K97" s="161" t="n">
        <v>22159.57</v>
      </c>
      <c r="L97" s="161" t="n">
        <f aca="false">M97+N97</f>
        <v>22159.57</v>
      </c>
      <c r="M97" s="161" t="n">
        <v>11231.55</v>
      </c>
      <c r="N97" s="190" t="n">
        <v>10928.02</v>
      </c>
      <c r="O97" s="163" t="n">
        <v>9</v>
      </c>
      <c r="P97" s="161" t="n">
        <v>62858.94</v>
      </c>
      <c r="Q97" s="161" t="n">
        <f aca="false">R97+S97</f>
        <v>62858.94</v>
      </c>
      <c r="R97" s="161" t="n">
        <v>51100.74</v>
      </c>
      <c r="S97" s="190" t="n">
        <v>11758.2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2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38</v>
      </c>
      <c r="I101" s="160" t="n">
        <v>28</v>
      </c>
      <c r="J101" s="160" t="n">
        <v>32</v>
      </c>
      <c r="K101" s="161" t="n">
        <v>63185.25</v>
      </c>
      <c r="L101" s="161" t="n">
        <f aca="false">M101+N101</f>
        <v>50881.45</v>
      </c>
      <c r="M101" s="161" t="n">
        <v>50881.45</v>
      </c>
      <c r="N101" s="190"/>
      <c r="O101" s="163" t="n">
        <v>26</v>
      </c>
      <c r="P101" s="161" t="n">
        <v>149264.15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23170.3</v>
      </c>
      <c r="Q102" s="166" t="n">
        <f aca="false">R102+S102</f>
        <v>28929.2</v>
      </c>
      <c r="R102" s="166" t="n">
        <f aca="false">21936.9+1233.4+5758.9</f>
        <v>28929.2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26</v>
      </c>
      <c r="I103" s="148" t="n">
        <v>17</v>
      </c>
      <c r="J103" s="148" t="n">
        <v>17</v>
      </c>
      <c r="K103" s="149" t="n">
        <v>13827.75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3</v>
      </c>
      <c r="P103" s="149" t="n">
        <v>18333.88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13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10</v>
      </c>
      <c r="P105" s="149" t="n">
        <v>50989.25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10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10</v>
      </c>
      <c r="I108" s="160" t="n">
        <v>6</v>
      </c>
      <c r="J108" s="160" t="n">
        <v>8</v>
      </c>
      <c r="K108" s="161" t="n">
        <v>16525.47</v>
      </c>
      <c r="L108" s="161" t="n">
        <f aca="false">M108+N108</f>
        <v>11123.42</v>
      </c>
      <c r="M108" s="161" t="n">
        <v>11123.42</v>
      </c>
      <c r="N108" s="190"/>
      <c r="O108" s="163" t="n">
        <v>11</v>
      </c>
      <c r="P108" s="161" t="n">
        <v>40851.54</v>
      </c>
      <c r="Q108" s="161" t="n">
        <f aca="false">R108+S108</f>
        <v>35453.78</v>
      </c>
      <c r="R108" s="161" t="n">
        <v>35453.78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9</v>
      </c>
      <c r="I110" s="148" t="n">
        <v>7</v>
      </c>
      <c r="J110" s="148" t="n">
        <v>8</v>
      </c>
      <c r="K110" s="149" t="n">
        <v>10898.87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34</v>
      </c>
      <c r="I112" s="148" t="n">
        <v>31</v>
      </c>
      <c r="J112" s="148" t="n">
        <v>41</v>
      </c>
      <c r="K112" s="149" t="n">
        <v>57194.52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6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49"/>
      <c r="M114" s="149"/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55"/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16</v>
      </c>
      <c r="I116" s="160" t="n">
        <v>10</v>
      </c>
      <c r="J116" s="160" t="n">
        <v>11</v>
      </c>
      <c r="K116" s="161" t="n">
        <v>11822.95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/>
      <c r="N117" s="156" t="n">
        <f aca="false">8100.4</f>
        <v>8100.4</v>
      </c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35</v>
      </c>
      <c r="I118" s="160" t="n">
        <v>28</v>
      </c>
      <c r="J118" s="160" t="n">
        <v>40</v>
      </c>
      <c r="K118" s="161" t="n">
        <v>77493.29</v>
      </c>
      <c r="L118" s="161" t="n">
        <f aca="false">M118+N118</f>
        <v>46541.91</v>
      </c>
      <c r="M118" s="161" t="n">
        <v>46541.91</v>
      </c>
      <c r="N118" s="190"/>
      <c r="O118" s="163" t="n">
        <v>28</v>
      </c>
      <c r="P118" s="161" t="n">
        <v>54637.9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43</v>
      </c>
      <c r="I122" s="148" t="n">
        <v>27</v>
      </c>
      <c r="J122" s="148" t="n">
        <v>34</v>
      </c>
      <c r="K122" s="149" t="n">
        <v>41545.36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28</v>
      </c>
      <c r="I123" s="165" t="n">
        <v>19</v>
      </c>
      <c r="J123" s="165" t="n">
        <v>19</v>
      </c>
      <c r="K123" s="166" t="n">
        <v>21121.69</v>
      </c>
      <c r="L123" s="166" t="n">
        <v>18912.49</v>
      </c>
      <c r="M123" s="166" t="n">
        <v>18912.49</v>
      </c>
      <c r="N123" s="156" t="n">
        <v>2209.2</v>
      </c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31</v>
      </c>
      <c r="I124" s="148" t="n">
        <v>21</v>
      </c>
      <c r="J124" s="148" t="n">
        <v>30</v>
      </c>
      <c r="K124" s="149" t="n">
        <v>132028.45</v>
      </c>
      <c r="L124" s="149" t="n">
        <f aca="false">M124+N124</f>
        <v>78634.92</v>
      </c>
      <c r="M124" s="149" t="n">
        <v>78634.92</v>
      </c>
      <c r="N124" s="190"/>
      <c r="O124" s="151" t="n">
        <v>22</v>
      </c>
      <c r="P124" s="149" t="n">
        <v>74402.24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41</v>
      </c>
      <c r="I126" s="160" t="n">
        <v>18</v>
      </c>
      <c r="J126" s="160" t="n">
        <v>20</v>
      </c>
      <c r="K126" s="161" t="n">
        <v>71054.41</v>
      </c>
      <c r="L126" s="161" t="n">
        <f aca="false">M126+N126</f>
        <v>33685.02</v>
      </c>
      <c r="M126" s="161" t="n">
        <v>33685.02</v>
      </c>
      <c r="N126" s="190"/>
      <c r="O126" s="163" t="n">
        <v>22</v>
      </c>
      <c r="P126" s="161" t="n">
        <v>156279.23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10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11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14284.03</v>
      </c>
      <c r="Q132" s="155" t="n">
        <f aca="false">R132+S132</f>
        <v>16749.33</v>
      </c>
      <c r="R132" s="155" t="n">
        <f aca="false">1585.8+1585.8+6070.83+5041.6</f>
        <v>14284.03</v>
      </c>
      <c r="S132" s="156" t="n">
        <f aca="false">2465.3</f>
        <v>2465.3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24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38</v>
      </c>
      <c r="I137" s="148" t="n">
        <v>29</v>
      </c>
      <c r="J137" s="148" t="n">
        <v>37</v>
      </c>
      <c r="K137" s="149" t="n">
        <v>96989.14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19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17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6607.5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9</v>
      </c>
      <c r="I145" s="148" t="n">
        <v>6</v>
      </c>
      <c r="J145" s="148" t="n">
        <v>7</v>
      </c>
      <c r="K145" s="149" t="n">
        <v>8127.9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24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9</v>
      </c>
      <c r="P147" s="161" t="n">
        <v>31735.04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9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11931.8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8</v>
      </c>
      <c r="I149" s="148" t="n">
        <v>6</v>
      </c>
      <c r="J149" s="148" t="n">
        <v>8</v>
      </c>
      <c r="K149" s="149" t="n">
        <v>16410.93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3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0</v>
      </c>
      <c r="M151" s="149"/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6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1</v>
      </c>
      <c r="J153" s="160" t="n">
        <v>1</v>
      </c>
      <c r="K153" s="161" t="n">
        <v>21512.83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/>
      <c r="J155" s="148"/>
      <c r="K155" s="149"/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4</v>
      </c>
      <c r="J157" s="160" t="n">
        <v>5</v>
      </c>
      <c r="K157" s="161" t="n">
        <v>7292.31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1104.6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15</v>
      </c>
      <c r="I159" s="148" t="n">
        <v>14</v>
      </c>
      <c r="J159" s="148" t="n">
        <v>17</v>
      </c>
      <c r="K159" s="149" t="n">
        <v>39506.71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31</v>
      </c>
      <c r="I161" s="148" t="n">
        <v>27</v>
      </c>
      <c r="J161" s="193" t="n">
        <v>33</v>
      </c>
      <c r="K161" s="149" t="n">
        <v>41438.77</v>
      </c>
      <c r="L161" s="149" t="n">
        <f aca="false">M161+N161</f>
        <v>37553.38</v>
      </c>
      <c r="M161" s="149" t="n">
        <v>37553.38</v>
      </c>
      <c r="N161" s="190"/>
      <c r="O161" s="163" t="n">
        <v>20</v>
      </c>
      <c r="P161" s="161" t="n">
        <v>137061.93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26</v>
      </c>
      <c r="I165" s="160" t="n">
        <v>25</v>
      </c>
      <c r="J165" s="160" t="n">
        <v>36</v>
      </c>
      <c r="K165" s="140" t="n">
        <v>90768.99</v>
      </c>
      <c r="L165" s="140" t="n">
        <f aca="false">M165+N165</f>
        <v>79081.21</v>
      </c>
      <c r="M165" s="140" t="n">
        <v>71945.49</v>
      </c>
      <c r="N165" s="190" t="n">
        <v>7135.72</v>
      </c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29719.69</v>
      </c>
      <c r="S165" s="190" t="n">
        <v>2761.5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5797.48</v>
      </c>
      <c r="R169" s="161"/>
      <c r="S169" s="190" t="n">
        <v>5797.48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24</v>
      </c>
      <c r="I175" s="160" t="n">
        <v>18</v>
      </c>
      <c r="J175" s="160" t="n">
        <v>21</v>
      </c>
      <c r="K175" s="161" t="n">
        <v>24020.6</v>
      </c>
      <c r="L175" s="161" t="n">
        <f aca="false">M175+N175</f>
        <v>15676.78</v>
      </c>
      <c r="M175" s="161" t="n">
        <v>15676.78</v>
      </c>
      <c r="N175" s="190"/>
      <c r="O175" s="163" t="n">
        <v>23</v>
      </c>
      <c r="P175" s="161" t="n">
        <v>61432.55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4</v>
      </c>
      <c r="J176" s="165" t="n">
        <v>4</v>
      </c>
      <c r="K176" s="166" t="n">
        <v>8915.72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16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3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11276.8</v>
      </c>
      <c r="Q183" s="166" t="n">
        <f aca="false">R183+S183</f>
        <v>14222.4</v>
      </c>
      <c r="R183" s="166" t="n">
        <f aca="false">11276.8</f>
        <v>11276.8</v>
      </c>
      <c r="S183" s="156" t="n">
        <f aca="false">2945.6</f>
        <v>2945.6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1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0</v>
      </c>
      <c r="M188" s="197"/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8</v>
      </c>
      <c r="I189" s="200" t="n">
        <v>5</v>
      </c>
      <c r="J189" s="200" t="n">
        <v>5</v>
      </c>
      <c r="K189" s="201" t="n">
        <v>10814.36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5</v>
      </c>
      <c r="P190" s="161" t="n">
        <v>8689.1</v>
      </c>
      <c r="Q190" s="161" t="n">
        <f aca="false">R190+S190</f>
        <v>7400.4</v>
      </c>
      <c r="R190" s="161" t="n">
        <v>7400.4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12950.7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45</v>
      </c>
      <c r="I192" s="148" t="n">
        <v>43</v>
      </c>
      <c r="J192" s="148" t="n">
        <v>61</v>
      </c>
      <c r="K192" s="149" t="n">
        <v>95854.47</v>
      </c>
      <c r="L192" s="149" t="n">
        <f aca="false">M192+N192</f>
        <v>89688.59</v>
      </c>
      <c r="M192" s="149" t="n">
        <v>89688.59</v>
      </c>
      <c r="N192" s="190"/>
      <c r="O192" s="151" t="n">
        <v>37</v>
      </c>
      <c r="P192" s="149" t="n">
        <v>136168.49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11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6</v>
      </c>
      <c r="J195" s="165" t="n">
        <v>6</v>
      </c>
      <c r="K195" s="166" t="n">
        <v>8284.5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25</v>
      </c>
      <c r="I196" s="148" t="n">
        <v>15</v>
      </c>
      <c r="J196" s="148" t="n">
        <v>16</v>
      </c>
      <c r="K196" s="149" t="n">
        <v>27701.57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56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30664.96</v>
      </c>
      <c r="N198" s="190" t="n">
        <v>33126.98</v>
      </c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16</v>
      </c>
      <c r="I199" s="154" t="n">
        <v>12</v>
      </c>
      <c r="J199" s="154" t="n">
        <v>12</v>
      </c>
      <c r="K199" s="155" t="n">
        <v>13923.11</v>
      </c>
      <c r="L199" s="155" t="n">
        <f aca="false">M199+N199</f>
        <v>13923.11</v>
      </c>
      <c r="M199" s="155" t="n">
        <v>12266.21</v>
      </c>
      <c r="N199" s="156" t="n">
        <v>1656.9</v>
      </c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29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16</v>
      </c>
      <c r="J201" s="165" t="n">
        <v>16</v>
      </c>
      <c r="K201" s="166" t="n">
        <v>38538.88</v>
      </c>
      <c r="L201" s="166" t="n">
        <v>32666.09</v>
      </c>
      <c r="M201" s="166" t="n">
        <v>32666.09</v>
      </c>
      <c r="N201" s="156" t="n">
        <v>5872.79</v>
      </c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32</v>
      </c>
      <c r="I202" s="148" t="n">
        <v>26</v>
      </c>
      <c r="J202" s="148" t="n">
        <v>32</v>
      </c>
      <c r="K202" s="149" t="n">
        <v>34874.57</v>
      </c>
      <c r="L202" s="149" t="n">
        <f aca="false">M202+N202</f>
        <v>23180.8</v>
      </c>
      <c r="M202" s="149" t="n">
        <v>23180.8</v>
      </c>
      <c r="N202" s="190"/>
      <c r="O202" s="151" t="n">
        <v>27</v>
      </c>
      <c r="P202" s="149" t="n">
        <v>83185.53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1</v>
      </c>
      <c r="J204" s="148" t="n">
        <v>1</v>
      </c>
      <c r="K204" s="149" t="n">
        <v>621.99</v>
      </c>
      <c r="L204" s="149" t="n">
        <f aca="false">M204+N204</f>
        <v>0</v>
      </c>
      <c r="M204" s="149"/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7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23</v>
      </c>
      <c r="I212" s="160" t="n">
        <v>17</v>
      </c>
      <c r="J212" s="160" t="n">
        <v>28</v>
      </c>
      <c r="K212" s="161" t="n">
        <v>62675.5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7984.73</v>
      </c>
      <c r="N214" s="190" t="n">
        <v>12608.13</v>
      </c>
      <c r="O214" s="151" t="n">
        <v>3</v>
      </c>
      <c r="P214" s="149" t="n">
        <v>5504.35</v>
      </c>
      <c r="Q214" s="149" t="n">
        <f aca="false">R214+S214</f>
        <v>5504.35</v>
      </c>
      <c r="R214" s="149" t="n">
        <v>4329.79</v>
      </c>
      <c r="S214" s="190" t="n">
        <v>1174.56</v>
      </c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5</v>
      </c>
      <c r="I215" s="165" t="n">
        <v>2</v>
      </c>
      <c r="J215" s="165" t="n">
        <v>2</v>
      </c>
      <c r="K215" s="166" t="n">
        <v>3618.8</v>
      </c>
      <c r="L215" s="166" t="n">
        <f aca="false">M215+N215</f>
        <v>3250.6</v>
      </c>
      <c r="M215" s="166" t="n">
        <f aca="false">1409.6</f>
        <v>1409.6</v>
      </c>
      <c r="N215" s="156" t="n">
        <f aca="false">1841</f>
        <v>1841</v>
      </c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10</v>
      </c>
      <c r="P217" s="166" t="n">
        <v>39972.62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27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2</v>
      </c>
      <c r="K219" s="155" t="n">
        <v>3347.8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26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3</v>
      </c>
      <c r="J221" s="165" t="n">
        <v>3</v>
      </c>
      <c r="K221" s="166" t="n">
        <v>4052.6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12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s">
        <v>306</v>
      </c>
      <c r="Q223" s="166" t="n">
        <f aca="false">R223+S223</f>
        <v>16937.2</v>
      </c>
      <c r="R223" s="166" t="n">
        <f aca="false">6995.8+1288.7+5707.1</f>
        <v>13991.6</v>
      </c>
      <c r="S223" s="167" t="n">
        <f aca="false">2945.6</f>
        <v>2945.6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2</v>
      </c>
      <c r="I224" s="148"/>
      <c r="J224" s="148"/>
      <c r="K224" s="149"/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7</v>
      </c>
      <c r="I227" s="154" t="n">
        <v>3</v>
      </c>
      <c r="J227" s="154" t="n">
        <v>3</v>
      </c>
      <c r="K227" s="155" t="n">
        <v>4858.32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24</v>
      </c>
      <c r="I228" s="160" t="n">
        <v>22</v>
      </c>
      <c r="J228" s="160" t="n">
        <v>33</v>
      </c>
      <c r="K228" s="161" t="n">
        <v>49999.33</v>
      </c>
      <c r="L228" s="161" t="n">
        <f aca="false">M228+N228</f>
        <v>45981.11</v>
      </c>
      <c r="M228" s="161" t="n">
        <v>45981.11</v>
      </c>
      <c r="N228" s="190"/>
      <c r="O228" s="163" t="n">
        <v>12</v>
      </c>
      <c r="P228" s="161" t="n">
        <v>72912.46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/>
      <c r="N229" s="156" t="n">
        <f aca="false">552.3</f>
        <v>552.3</v>
      </c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8</v>
      </c>
      <c r="I230" s="148" t="n">
        <v>5</v>
      </c>
      <c r="J230" s="148" t="n">
        <v>5</v>
      </c>
      <c r="K230" s="149" t="n">
        <v>6613.73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6</v>
      </c>
      <c r="P232" s="161" t="n">
        <v>10969.43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5</v>
      </c>
      <c r="J233" s="165" t="n">
        <v>5</v>
      </c>
      <c r="K233" s="166" t="n">
        <v>10225.1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14903.5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</f>
        <v>5288.75</v>
      </c>
      <c r="N235" s="156" t="n">
        <v>552.3</v>
      </c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4</v>
      </c>
      <c r="J237" s="165" t="n">
        <v>4</v>
      </c>
      <c r="K237" s="166" t="n">
        <v>9664.55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9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17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7366.4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2</v>
      </c>
      <c r="P242" s="149" t="n">
        <v>15606.38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7648.67</v>
      </c>
      <c r="N244" s="224" t="n">
        <v>5365.21</v>
      </c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3</v>
      </c>
      <c r="J245" s="154" t="n">
        <v>3</v>
      </c>
      <c r="K245" s="155" t="n">
        <v>4166.84</v>
      </c>
      <c r="L245" s="155" t="n">
        <v>3614.54</v>
      </c>
      <c r="M245" s="155" t="n">
        <v>3614.54</v>
      </c>
      <c r="N245" s="226" t="n">
        <v>552.3</v>
      </c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5</v>
      </c>
      <c r="P246" s="161" t="n">
        <v>18277.74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</f>
        <v>11408.7</v>
      </c>
      <c r="N247" s="167" t="n">
        <f aca="false">1288.7</f>
        <v>1288.7</v>
      </c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2568</v>
      </c>
      <c r="I252" s="214" t="n">
        <f aca="false">SUM(I9:I251)</f>
        <v>1596</v>
      </c>
      <c r="J252" s="214" t="n">
        <f aca="false">SUM(J9:J251)</f>
        <v>1939</v>
      </c>
      <c r="K252" s="215" t="n">
        <f aca="false">SUM(K9:K251)</f>
        <v>3446833.13</v>
      </c>
      <c r="L252" s="215" t="n">
        <f aca="false">SUM(L9:L251)</f>
        <v>2741339.62</v>
      </c>
      <c r="M252" s="215" t="n">
        <f aca="false">SUM(M9:M251)</f>
        <v>2582985.96</v>
      </c>
      <c r="N252" s="243" t="n">
        <f aca="false">SUM(N9:N251)</f>
        <v>166982.45</v>
      </c>
      <c r="O252" s="244" t="n">
        <f aca="false">SUM(O9:O251)</f>
        <v>1204</v>
      </c>
      <c r="P252" s="245" t="n">
        <f aca="false">SUM(P9:P251)</f>
        <v>4443136.62</v>
      </c>
      <c r="Q252" s="245" t="n">
        <f aca="false">SUM(Q9:Q251)</f>
        <v>4180906.09</v>
      </c>
      <c r="R252" s="245" t="n">
        <f aca="false">SUM(R9:R251)</f>
        <v>4081016.03</v>
      </c>
      <c r="S252" s="246" t="n">
        <f aca="false">SUM(S9:S251)</f>
        <v>111856.56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1750</v>
      </c>
      <c r="H258" s="108" t="n">
        <f aca="false">SUMIF($G$9:$G$251,$F$258,I9:I251)</f>
        <v>1202</v>
      </c>
      <c r="I258" s="108" t="n">
        <f aca="false">SUMIF($G$9:$G$251,$F$258,J9:J251)</f>
        <v>1541</v>
      </c>
      <c r="J258" s="110" t="n">
        <f aca="false">SUMIF($G$9:$G$251,F258,$K$9:$K$251)</f>
        <v>2769842.4</v>
      </c>
      <c r="K258" s="110" t="n">
        <f aca="false">SUMIF($G$9:$G$251,$F$258,L9:L251)</f>
        <v>2149425.83</v>
      </c>
      <c r="L258" s="110" t="n">
        <f aca="false">SUMIF($G$9:$G$251,$F$258,M9:M251)</f>
        <v>2008567.17</v>
      </c>
      <c r="M258" s="110" t="n">
        <f aca="false">SUMIF($G$9:$G$251,$F$258,N9:N251)</f>
        <v>140858.66</v>
      </c>
      <c r="N258" s="108" t="n">
        <f aca="false">SUMIF($G$9:$G$251,$F$258,O9:O251)</f>
        <v>803</v>
      </c>
      <c r="O258" s="110" t="n">
        <f aca="false">SUMIF($G$9:$G$251,F258,$P$9:$P$251)</f>
        <v>3427062.53</v>
      </c>
      <c r="P258" s="110" t="n">
        <f aca="false">SUMIF($G$9:$G$251,$F$258,Q9:Q251)</f>
        <v>3112970.67</v>
      </c>
      <c r="Q258" s="110" t="n">
        <f aca="false">SUMIF($G$9:$G$251,$F$258,R9:R251)</f>
        <v>3013152.61</v>
      </c>
      <c r="R258" s="110" t="n">
        <f aca="false">SUMIF($G$9:$G$251,$F$258,S9:S251)</f>
        <v>99818.06</v>
      </c>
      <c r="S258" s="110" t="n">
        <f aca="false">Q258+L258</f>
        <v>5021719.78</v>
      </c>
      <c r="T258" s="111" t="n">
        <f aca="false">J258-L258+O258-Q258</f>
        <v>1175185.15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538</v>
      </c>
      <c r="H259" s="108" t="n">
        <f aca="false">SUMIF($G$9:$G$251,$F$259,I9:I251)</f>
        <v>225</v>
      </c>
      <c r="I259" s="108" t="n">
        <f aca="false">SUMIF($G$9:$G$251,$F$259,J9:J251)</f>
        <v>229</v>
      </c>
      <c r="J259" s="110" t="n">
        <f aca="false">SUMIF($G$9:$G$251,F259,$K$9:$K$251)</f>
        <v>451713.39</v>
      </c>
      <c r="K259" s="110" t="n">
        <f aca="false">SUMIF($G$9:$G$251,$F$259,L9:L251)</f>
        <v>375270.74</v>
      </c>
      <c r="L259" s="110" t="n">
        <f aca="false">SUMIF($G$9:$G$251,$F$259,M9:M251)</f>
        <v>359432.64</v>
      </c>
      <c r="M259" s="110" t="n">
        <f aca="false">SUMIF($G$9:$G$251,$F$259,N9:N251)</f>
        <v>15832.6</v>
      </c>
      <c r="N259" s="108" t="n">
        <f aca="false">SUMIF($G$9:$G$251,$F$259,O9:O251)</f>
        <v>292</v>
      </c>
      <c r="O259" s="110" t="n">
        <f aca="false">SUMIF($G$9:$G$251,F259,$P$9:$P$251)</f>
        <v>789945.29</v>
      </c>
      <c r="P259" s="110" t="n">
        <f aca="false">SUMIF($G$9:$G$251,$F$259,Q9:Q251)</f>
        <v>843095.32</v>
      </c>
      <c r="Q259" s="110" t="n">
        <f aca="false">SUMIF($G$9:$G$251,$F$259,R9:R251)</f>
        <v>843023.32</v>
      </c>
      <c r="R259" s="110" t="n">
        <f aca="false">SUMIF($G$9:$G$251,$F$259,S9:S251)</f>
        <v>10749.8</v>
      </c>
      <c r="S259" s="110" t="n">
        <f aca="false">Q259+L259</f>
        <v>1202455.96</v>
      </c>
      <c r="T259" s="111" t="n">
        <f aca="false">J259-L259+O259-Q259</f>
        <v>39202.7199999997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280</v>
      </c>
      <c r="H260" s="108" t="n">
        <f aca="false">SUMIF($G$9:$G$251,$F$260,I9:I251)</f>
        <v>169</v>
      </c>
      <c r="I260" s="108" t="n">
        <f aca="false">SUMIF($G$9:$G$251,$F$260,J9:J251)</f>
        <v>169</v>
      </c>
      <c r="J260" s="110" t="n">
        <f aca="false">SUMIF($G$9:$G$251,F260,$K$9:$K$251)</f>
        <v>225277.34</v>
      </c>
      <c r="K260" s="110" t="n">
        <f aca="false">SUMIF($G$9:$G$251,$F$260,L9:L251)</f>
        <v>216643.05</v>
      </c>
      <c r="L260" s="110" t="n">
        <f aca="false">SUMIF($G$9:$G$251,$F$260,M9:M251)</f>
        <v>214986.15</v>
      </c>
      <c r="M260" s="110" t="n">
        <f aca="false">SUMIF($G$9:$G$251,$F$260,N9:N251)</f>
        <v>10291.19</v>
      </c>
      <c r="N260" s="108" t="n">
        <f aca="false">SUMIF($G$9:$G$251,$F$260,O9:O251)</f>
        <v>109</v>
      </c>
      <c r="O260" s="110" t="n">
        <f aca="false">SUMIF($G$9:$G$251,F260,$P$9:$P$251)</f>
        <v>226128.8</v>
      </c>
      <c r="P260" s="110" t="n">
        <f aca="false">SUMIF($G$9:$G$251,$F$260,Q9:Q251)</f>
        <v>224840.1</v>
      </c>
      <c r="Q260" s="110" t="n">
        <f aca="false">SUMIF($G$9:$G$251,$F$260,R9:R251)</f>
        <v>224840.1</v>
      </c>
      <c r="R260" s="110" t="n">
        <f aca="false">SUMIF($G$9:$G$251,$F$260,S9:S251)</f>
        <v>1288.7</v>
      </c>
      <c r="S260" s="110" t="n">
        <f aca="false">Q260+L260</f>
        <v>439826.25</v>
      </c>
      <c r="T260" s="111" t="n">
        <f aca="false">J260-L260+O260-Q260</f>
        <v>11579.89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2568</v>
      </c>
      <c r="H261" s="216" t="n">
        <f aca="false">H260+H259+H258</f>
        <v>1596</v>
      </c>
      <c r="I261" s="216" t="n">
        <f aca="false">I260+I259+I258</f>
        <v>1939</v>
      </c>
      <c r="J261" s="217" t="n">
        <f aca="false">J260+J259+J258</f>
        <v>3446833.13</v>
      </c>
      <c r="K261" s="217" t="n">
        <f aca="false">K260+K259+K258</f>
        <v>2741339.62</v>
      </c>
      <c r="L261" s="217" t="n">
        <f aca="false">L260+L259+L258</f>
        <v>2582985.96</v>
      </c>
      <c r="M261" s="217" t="n">
        <f aca="false">M260+M259+M258</f>
        <v>166982.45</v>
      </c>
      <c r="N261" s="216" t="n">
        <f aca="false">N260+N259+N258</f>
        <v>1204</v>
      </c>
      <c r="O261" s="217" t="n">
        <f aca="false">O260+O259+O258</f>
        <v>4443136.62</v>
      </c>
      <c r="P261" s="217" t="n">
        <f aca="false">P260+P259+P258</f>
        <v>4180906.09</v>
      </c>
      <c r="Q261" s="217" t="n">
        <f aca="false">Q260+Q259+Q258</f>
        <v>4081016.03</v>
      </c>
      <c r="R261" s="217" t="n">
        <f aca="false">R260+R259+R258</f>
        <v>111856.56</v>
      </c>
      <c r="S261" s="217" t="n">
        <f aca="false">S260+S259+S258</f>
        <v>6664001.99</v>
      </c>
      <c r="T261" s="217" t="n">
        <f aca="false">T260+T259+T258</f>
        <v>1225967.76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1750</v>
      </c>
      <c r="H322" s="247" t="n">
        <v>1202</v>
      </c>
      <c r="I322" s="247" t="n">
        <v>1541</v>
      </c>
      <c r="J322" s="0" t="n">
        <v>2769842.4</v>
      </c>
      <c r="K322" s="236"/>
      <c r="N322" s="0" t="n">
        <v>803</v>
      </c>
      <c r="O322" s="0" t="n">
        <v>3427062.53</v>
      </c>
    </row>
    <row r="323" customFormat="false" ht="15" hidden="false" customHeight="false" outlineLevel="0" collapsed="false">
      <c r="G323" s="221" t="n">
        <f aca="false">G258-G322</f>
        <v>0</v>
      </c>
      <c r="H323" s="221" t="n">
        <f aca="false">H258-H322</f>
        <v>0</v>
      </c>
      <c r="I323" s="221" t="n">
        <f aca="false">I258-I322</f>
        <v>0</v>
      </c>
      <c r="J323" s="229" t="n">
        <f aca="false">J258-J322</f>
        <v>0</v>
      </c>
      <c r="K323" s="236"/>
      <c r="N323" s="221" t="n">
        <f aca="false">N258-N322</f>
        <v>0</v>
      </c>
      <c r="O323" s="229" t="n">
        <f aca="false">O258-O322</f>
        <v>0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6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/>
      <c r="J10" s="154"/>
      <c r="K10" s="155"/>
      <c r="L10" s="155" t="n">
        <f aca="false">M10+N10</f>
        <v>0</v>
      </c>
      <c r="M10" s="155"/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28</v>
      </c>
      <c r="I11" s="160" t="n">
        <v>21</v>
      </c>
      <c r="J11" s="160" t="n">
        <v>36</v>
      </c>
      <c r="K11" s="161" t="n">
        <v>79121.66</v>
      </c>
      <c r="L11" s="161" t="n">
        <v>71801.93</v>
      </c>
      <c r="M11" s="161" t="n">
        <v>71801.93</v>
      </c>
      <c r="N11" s="239" t="n">
        <v>5079.33</v>
      </c>
      <c r="O11" s="151" t="n">
        <v>11</v>
      </c>
      <c r="P11" s="149" t="n">
        <v>44687.32</v>
      </c>
      <c r="Q11" s="149" t="n">
        <f aca="false">R11+S11</f>
        <v>44135.02</v>
      </c>
      <c r="R11" s="149" t="n">
        <v>39893.36</v>
      </c>
      <c r="S11" s="150" t="n">
        <v>4241.66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1841</v>
      </c>
      <c r="M12" s="166"/>
      <c r="N12" s="226" t="n">
        <f aca="false">1841</f>
        <v>1841</v>
      </c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37</v>
      </c>
      <c r="I13" s="148" t="n">
        <v>31</v>
      </c>
      <c r="J13" s="148" t="n">
        <v>47</v>
      </c>
      <c r="K13" s="149" t="n">
        <v>76104.05</v>
      </c>
      <c r="L13" s="149" t="n">
        <f aca="false">M13+N13</f>
        <v>75001.38</v>
      </c>
      <c r="M13" s="149" t="n">
        <v>53490.39</v>
      </c>
      <c r="N13" s="249" t="n">
        <v>21510.99</v>
      </c>
      <c r="O13" s="228" t="n">
        <v>8</v>
      </c>
      <c r="P13" s="161" t="n">
        <v>31855.11</v>
      </c>
      <c r="Q13" s="161" t="n">
        <f aca="false">R13+S13</f>
        <v>31855.11</v>
      </c>
      <c r="R13" s="161" t="n">
        <v>21729.06</v>
      </c>
      <c r="S13" s="190" t="n">
        <v>10126.05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2</v>
      </c>
      <c r="J16" s="165" t="n">
        <v>2</v>
      </c>
      <c r="K16" s="166" t="n">
        <v>4405</v>
      </c>
      <c r="L16" s="166" t="n">
        <f aca="false">M16+N16</f>
        <v>4405</v>
      </c>
      <c r="M16" s="166" t="n">
        <f aca="false">4405</f>
        <v>4405</v>
      </c>
      <c r="N16" s="167"/>
      <c r="O16" s="168" t="n">
        <v>5</v>
      </c>
      <c r="P16" s="166" t="n">
        <v>31011.2</v>
      </c>
      <c r="Q16" s="166" t="n">
        <f aca="false">R16+S16</f>
        <v>25827.9</v>
      </c>
      <c r="R16" s="166" t="n">
        <v>23434.6</v>
      </c>
      <c r="S16" s="167" t="n">
        <f aca="false">2393.3</f>
        <v>2393.3</v>
      </c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23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6</v>
      </c>
      <c r="J20" s="154" t="n">
        <v>6</v>
      </c>
      <c r="K20" s="155" t="n">
        <v>4643.1</v>
      </c>
      <c r="L20" s="155" t="n">
        <f aca="false">M20+N20</f>
        <v>4643.1</v>
      </c>
      <c r="M20" s="155" t="n">
        <f aca="false">2986.2+1656.9</f>
        <v>4643.1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23</v>
      </c>
      <c r="I21" s="160" t="n">
        <v>17</v>
      </c>
      <c r="J21" s="160" t="n">
        <v>23</v>
      </c>
      <c r="K21" s="161" t="n">
        <v>30113.95</v>
      </c>
      <c r="L21" s="161" t="n">
        <f aca="false">M21+N21</f>
        <v>21199.65</v>
      </c>
      <c r="M21" s="161" t="n">
        <v>21199.65</v>
      </c>
      <c r="N21" s="190"/>
      <c r="O21" s="163" t="n">
        <v>20</v>
      </c>
      <c r="P21" s="161" t="n">
        <v>51655.43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4</v>
      </c>
      <c r="P22" s="155" t="n">
        <v>4604.9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32</v>
      </c>
      <c r="I23" s="160" t="n">
        <v>25</v>
      </c>
      <c r="J23" s="160" t="n">
        <v>41</v>
      </c>
      <c r="K23" s="161" t="n">
        <v>59451.25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29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28</v>
      </c>
      <c r="I27" s="160" t="n">
        <v>26</v>
      </c>
      <c r="J27" s="160" t="n">
        <v>42</v>
      </c>
      <c r="K27" s="161" t="n">
        <v>81906.01</v>
      </c>
      <c r="L27" s="161" t="n">
        <f aca="false">M27+N27</f>
        <v>77966.2</v>
      </c>
      <c r="M27" s="161" t="n">
        <v>68607.98</v>
      </c>
      <c r="N27" s="190" t="n">
        <v>9358.22</v>
      </c>
      <c r="O27" s="151" t="n">
        <v>9</v>
      </c>
      <c r="P27" s="149" t="n">
        <v>30370.2</v>
      </c>
      <c r="Q27" s="149" t="n">
        <f aca="false">R27+S27</f>
        <v>28995.84</v>
      </c>
      <c r="R27" s="149" t="n">
        <v>20128.87</v>
      </c>
      <c r="S27" s="198" t="n">
        <v>8866.97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6</v>
      </c>
      <c r="J28" s="165" t="n">
        <v>6</v>
      </c>
      <c r="K28" s="166" t="n">
        <v>5888.45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</f>
        <v>38495.8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10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10</v>
      </c>
      <c r="I33" s="160" t="n">
        <v>5</v>
      </c>
      <c r="J33" s="160" t="n">
        <v>6</v>
      </c>
      <c r="K33" s="161" t="n">
        <v>13109.76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4</v>
      </c>
      <c r="J34" s="165" t="n">
        <v>4</v>
      </c>
      <c r="K34" s="166" t="n">
        <v>9718.14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2549.79</v>
      </c>
      <c r="M35" s="149"/>
      <c r="N35" s="150" t="n">
        <v>2549.79</v>
      </c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25</v>
      </c>
      <c r="I43" s="160" t="n">
        <v>22</v>
      </c>
      <c r="J43" s="160" t="n">
        <v>28</v>
      </c>
      <c r="K43" s="161" t="n">
        <v>52986.66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36186.09</v>
      </c>
      <c r="R46" s="166" t="n">
        <f aca="false">19654.4+16319.08+212.61</f>
        <v>36186.09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1</v>
      </c>
      <c r="J47" s="148" t="n">
        <v>1</v>
      </c>
      <c r="K47" s="149" t="n">
        <v>352.4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6989.68</v>
      </c>
      <c r="M48" s="155" t="n">
        <f aca="false">5885.08+1104.6</f>
        <v>6989.68</v>
      </c>
      <c r="N48" s="156"/>
      <c r="O48" s="157" t="n">
        <v>9</v>
      </c>
      <c r="P48" s="155" t="n">
        <v>18952.33</v>
      </c>
      <c r="Q48" s="155" t="n">
        <f aca="false">R48+S48</f>
        <v>18952.33</v>
      </c>
      <c r="R48" s="155" t="n">
        <f aca="false">16697.1+966.53+1288.7</f>
        <v>18952.33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5</v>
      </c>
      <c r="J51" s="160" t="n">
        <v>9</v>
      </c>
      <c r="K51" s="161" t="n">
        <v>12825.23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61</v>
      </c>
      <c r="I53" s="148" t="n">
        <v>55</v>
      </c>
      <c r="J53" s="148" t="n">
        <v>58</v>
      </c>
      <c r="K53" s="149" t="n">
        <v>85630.67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40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11</v>
      </c>
      <c r="I57" s="160" t="n">
        <v>7</v>
      </c>
      <c r="J57" s="160" t="n">
        <v>9</v>
      </c>
      <c r="K57" s="161" t="n">
        <v>27282.46</v>
      </c>
      <c r="L57" s="161" t="n">
        <f aca="false">M57+N57</f>
        <v>7518.67</v>
      </c>
      <c r="M57" s="161" t="n">
        <v>2654.28</v>
      </c>
      <c r="N57" s="190" t="n">
        <v>4864.39</v>
      </c>
      <c r="O57" s="163" t="n">
        <v>4</v>
      </c>
      <c r="P57" s="161" t="n">
        <v>20218.72</v>
      </c>
      <c r="Q57" s="161" t="n">
        <f aca="false">R57+S57</f>
        <v>20218.72</v>
      </c>
      <c r="R57" s="161" t="n">
        <v>18745.92</v>
      </c>
      <c r="S57" s="190" t="n">
        <v>1472.8</v>
      </c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7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10</v>
      </c>
      <c r="P58" s="166" t="n">
        <v>33429.49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9</v>
      </c>
      <c r="I59" s="148" t="n">
        <v>5</v>
      </c>
      <c r="J59" s="148" t="n">
        <v>8</v>
      </c>
      <c r="K59" s="149" t="n">
        <v>25539.57</v>
      </c>
      <c r="L59" s="149" t="n">
        <f aca="false">M59+N59</f>
        <v>22291.35</v>
      </c>
      <c r="M59" s="149"/>
      <c r="N59" s="150" t="n">
        <v>22291.35</v>
      </c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13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0</v>
      </c>
      <c r="M62" s="166"/>
      <c r="N62" s="156"/>
      <c r="O62" s="168" t="n">
        <v>10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11</v>
      </c>
      <c r="I63" s="148" t="n">
        <v>5</v>
      </c>
      <c r="J63" s="148" t="n">
        <v>5</v>
      </c>
      <c r="K63" s="149" t="n">
        <v>2212.02</v>
      </c>
      <c r="L63" s="149" t="n">
        <f aca="false">M63+N63</f>
        <v>2154.14</v>
      </c>
      <c r="M63" s="149" t="n">
        <v>881</v>
      </c>
      <c r="N63" s="190" t="n">
        <v>1273.14</v>
      </c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9</v>
      </c>
      <c r="I64" s="154" t="n">
        <v>4</v>
      </c>
      <c r="J64" s="154" t="n">
        <v>4</v>
      </c>
      <c r="K64" s="155" t="n">
        <v>6850.85</v>
      </c>
      <c r="L64" s="155" t="n">
        <f aca="false">M64+N64</f>
        <v>6850.85</v>
      </c>
      <c r="M64" s="155" t="n">
        <f aca="false">5286+1564.85</f>
        <v>6850.85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10</v>
      </c>
      <c r="J67" s="148" t="n">
        <v>14</v>
      </c>
      <c r="K67" s="149" t="n">
        <v>29586.56</v>
      </c>
      <c r="L67" s="149" t="n">
        <f aca="false">M67+N67</f>
        <v>22953.9</v>
      </c>
      <c r="M67" s="149" t="n">
        <v>3717.82</v>
      </c>
      <c r="N67" s="190" t="n">
        <v>19236.08</v>
      </c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11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16</v>
      </c>
      <c r="I69" s="160" t="n">
        <v>8</v>
      </c>
      <c r="J69" s="160" t="n">
        <v>13</v>
      </c>
      <c r="K69" s="161" t="n">
        <v>23076.29</v>
      </c>
      <c r="L69" s="161" t="n">
        <f aca="false">M69+N69</f>
        <v>24253.38</v>
      </c>
      <c r="M69" s="161" t="n">
        <v>21739.72</v>
      </c>
      <c r="N69" s="190" t="n">
        <v>2513.66</v>
      </c>
      <c r="O69" s="163" t="n">
        <v>11</v>
      </c>
      <c r="P69" s="161" t="n">
        <v>64116.78</v>
      </c>
      <c r="Q69" s="161" t="n">
        <f aca="false">R69+S69</f>
        <v>64116.78</v>
      </c>
      <c r="R69" s="161" t="n">
        <v>62059.28</v>
      </c>
      <c r="S69" s="190" t="n">
        <v>2057.5</v>
      </c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32</v>
      </c>
      <c r="I71" s="148" t="n">
        <v>26</v>
      </c>
      <c r="J71" s="148" t="n">
        <v>34</v>
      </c>
      <c r="K71" s="149" t="n">
        <v>69120.49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39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/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20</v>
      </c>
      <c r="I81" s="148" t="n">
        <v>11</v>
      </c>
      <c r="J81" s="148" t="n">
        <v>11</v>
      </c>
      <c r="K81" s="149" t="n">
        <v>45671.29</v>
      </c>
      <c r="L81" s="149" t="n">
        <f aca="false">M81+N81</f>
        <v>32053.43</v>
      </c>
      <c r="M81" s="149" t="n">
        <v>24732.4</v>
      </c>
      <c r="N81" s="190" t="n">
        <v>7321.03</v>
      </c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4748.3</v>
      </c>
      <c r="R84" s="166" t="n">
        <f aca="false">2907.3+1841</f>
        <v>4748.3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11</v>
      </c>
      <c r="P85" s="149" t="n">
        <v>33167.87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</f>
        <v>1841</v>
      </c>
      <c r="N86" s="156" t="n">
        <f aca="false">1656.9</f>
        <v>1656.9</v>
      </c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16</v>
      </c>
      <c r="I89" s="148" t="n">
        <v>7</v>
      </c>
      <c r="J89" s="148" t="n">
        <v>9</v>
      </c>
      <c r="K89" s="149" t="n">
        <v>13028.25</v>
      </c>
      <c r="L89" s="149" t="n">
        <f aca="false">M89+N89</f>
        <v>8723.07</v>
      </c>
      <c r="M89" s="149" t="n">
        <v>8723.07</v>
      </c>
      <c r="N89" s="190"/>
      <c r="O89" s="151" t="n">
        <v>13</v>
      </c>
      <c r="P89" s="149" t="n">
        <v>51844.25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40</v>
      </c>
      <c r="I90" s="165" t="n">
        <v>40</v>
      </c>
      <c r="J90" s="165" t="n">
        <v>40</v>
      </c>
      <c r="K90" s="166" t="n">
        <v>56614.3</v>
      </c>
      <c r="L90" s="166" t="n">
        <v>45200.1</v>
      </c>
      <c r="M90" s="166" t="n">
        <v>45200.1</v>
      </c>
      <c r="N90" s="156"/>
      <c r="O90" s="168" t="n">
        <v>41</v>
      </c>
      <c r="P90" s="166" t="n">
        <v>82508.17</v>
      </c>
      <c r="Q90" s="166" t="n">
        <v>74775.97</v>
      </c>
      <c r="R90" s="166" t="n">
        <v>74775.97</v>
      </c>
      <c r="S90" s="156" t="n">
        <v>1288.7</v>
      </c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9</v>
      </c>
      <c r="I91" s="148" t="n">
        <v>6</v>
      </c>
      <c r="J91" s="148" t="n">
        <v>7</v>
      </c>
      <c r="K91" s="149" t="n">
        <v>10742.58</v>
      </c>
      <c r="L91" s="149" t="n">
        <f aca="false">M91+N91</f>
        <v>10742.58</v>
      </c>
      <c r="M91" s="149" t="n">
        <v>7056.9</v>
      </c>
      <c r="N91" s="190" t="n">
        <v>3685.68</v>
      </c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9</v>
      </c>
      <c r="J93" s="148" t="n">
        <v>13</v>
      </c>
      <c r="K93" s="149" t="n">
        <v>31245.45</v>
      </c>
      <c r="L93" s="149" t="n">
        <f aca="false">M93+N93</f>
        <v>28957.76</v>
      </c>
      <c r="M93" s="149" t="n">
        <v>17007.72</v>
      </c>
      <c r="N93" s="190" t="n">
        <v>11950.04</v>
      </c>
      <c r="O93" s="151" t="n">
        <v>17</v>
      </c>
      <c r="P93" s="149" t="n">
        <v>56917.37</v>
      </c>
      <c r="Q93" s="149" t="n">
        <f aca="false">R93+S93</f>
        <v>56917.37</v>
      </c>
      <c r="R93" s="149" t="n">
        <v>48957.86</v>
      </c>
      <c r="S93" s="190" t="n">
        <v>7959.51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8812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13</v>
      </c>
      <c r="I97" s="160" t="n">
        <v>11</v>
      </c>
      <c r="J97" s="160" t="n">
        <v>16</v>
      </c>
      <c r="K97" s="161" t="n">
        <v>26173.65</v>
      </c>
      <c r="L97" s="161" t="n">
        <f aca="false">M97+N97</f>
        <v>22159.57</v>
      </c>
      <c r="M97" s="161" t="n">
        <v>11231.55</v>
      </c>
      <c r="N97" s="190" t="n">
        <v>10928.02</v>
      </c>
      <c r="O97" s="163" t="n">
        <v>9</v>
      </c>
      <c r="P97" s="161" t="n">
        <v>62858.94</v>
      </c>
      <c r="Q97" s="161" t="n">
        <f aca="false">R97+S97</f>
        <v>62858.94</v>
      </c>
      <c r="R97" s="161" t="n">
        <v>51100.74</v>
      </c>
      <c r="S97" s="190" t="n">
        <v>11758.2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3</v>
      </c>
      <c r="J100" s="154" t="n">
        <v>3</v>
      </c>
      <c r="K100" s="155" t="n">
        <v>12686.4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3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38</v>
      </c>
      <c r="I101" s="160" t="n">
        <v>28</v>
      </c>
      <c r="J101" s="160" t="n">
        <v>32</v>
      </c>
      <c r="K101" s="161" t="n">
        <v>62669.77</v>
      </c>
      <c r="L101" s="161" t="n">
        <f aca="false">M101+N101</f>
        <v>50881.45</v>
      </c>
      <c r="M101" s="161" t="n">
        <v>50881.45</v>
      </c>
      <c r="N101" s="190"/>
      <c r="O101" s="163" t="n">
        <v>27</v>
      </c>
      <c r="P101" s="161" t="n">
        <v>154971.25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28929.2</v>
      </c>
      <c r="R102" s="166" t="n">
        <f aca="false">21936.9+1233.4+5758.9</f>
        <v>28929.2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26</v>
      </c>
      <c r="I103" s="148" t="n">
        <v>18</v>
      </c>
      <c r="J103" s="148" t="n">
        <v>18</v>
      </c>
      <c r="K103" s="149" t="n">
        <v>14524.2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3</v>
      </c>
      <c r="P103" s="149" t="n">
        <v>18333.88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13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11</v>
      </c>
      <c r="P105" s="149" t="n">
        <v>56733.17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10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11</v>
      </c>
      <c r="I108" s="160" t="n">
        <v>8</v>
      </c>
      <c r="J108" s="160" t="n">
        <v>10</v>
      </c>
      <c r="K108" s="161" t="n">
        <v>19070.63</v>
      </c>
      <c r="L108" s="161" t="n">
        <f aca="false">M108+N108</f>
        <v>13195.1</v>
      </c>
      <c r="M108" s="161" t="n">
        <v>11123.42</v>
      </c>
      <c r="N108" s="190" t="n">
        <v>2071.68</v>
      </c>
      <c r="O108" s="163" t="n">
        <v>12</v>
      </c>
      <c r="P108" s="161" t="n">
        <v>43029.23</v>
      </c>
      <c r="Q108" s="161" t="n">
        <f aca="false">R108+S108</f>
        <v>40146.74</v>
      </c>
      <c r="R108" s="161" t="n">
        <v>35453.78</v>
      </c>
      <c r="S108" s="190" t="n">
        <v>4692.96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10</v>
      </c>
      <c r="I110" s="148" t="n">
        <v>7</v>
      </c>
      <c r="J110" s="148" t="n">
        <v>8</v>
      </c>
      <c r="K110" s="149" t="n">
        <v>10898.87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34</v>
      </c>
      <c r="I112" s="148" t="n">
        <v>32</v>
      </c>
      <c r="J112" s="148" t="n">
        <v>42</v>
      </c>
      <c r="K112" s="149" t="n">
        <v>58115.02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6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/>
      <c r="N114" s="190" t="n">
        <v>386.61</v>
      </c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16</v>
      </c>
      <c r="I116" s="160" t="n">
        <v>10</v>
      </c>
      <c r="J116" s="160" t="n">
        <v>11</v>
      </c>
      <c r="K116" s="161" t="n">
        <v>11822.95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/>
      <c r="N117" s="156" t="n">
        <f aca="false">8100.4</f>
        <v>8100.4</v>
      </c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35</v>
      </c>
      <c r="I118" s="160" t="n">
        <v>30</v>
      </c>
      <c r="J118" s="160" t="n">
        <v>44</v>
      </c>
      <c r="K118" s="161" t="n">
        <v>84289.44</v>
      </c>
      <c r="L118" s="161" t="n">
        <f aca="false">M118+N118</f>
        <v>46541.91</v>
      </c>
      <c r="M118" s="161" t="n">
        <v>46541.91</v>
      </c>
      <c r="N118" s="190"/>
      <c r="O118" s="163" t="n">
        <v>30</v>
      </c>
      <c r="P118" s="161" t="n">
        <v>58377.09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44</v>
      </c>
      <c r="I122" s="148" t="n">
        <v>29</v>
      </c>
      <c r="J122" s="148" t="n">
        <v>36</v>
      </c>
      <c r="K122" s="149" t="n">
        <v>43229.88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28</v>
      </c>
      <c r="I123" s="165" t="n">
        <v>19</v>
      </c>
      <c r="J123" s="165" t="n">
        <v>19</v>
      </c>
      <c r="K123" s="166" t="n">
        <v>21121.69</v>
      </c>
      <c r="L123" s="166" t="n">
        <v>18912.49</v>
      </c>
      <c r="M123" s="166" t="n">
        <v>18912.49</v>
      </c>
      <c r="N123" s="156" t="n">
        <v>2209.2</v>
      </c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32</v>
      </c>
      <c r="I124" s="148" t="n">
        <v>22</v>
      </c>
      <c r="J124" s="148" t="n">
        <v>31</v>
      </c>
      <c r="K124" s="149" t="n">
        <v>135956</v>
      </c>
      <c r="L124" s="149" t="n">
        <f aca="false">M124+N124</f>
        <v>78634.92</v>
      </c>
      <c r="M124" s="149" t="n">
        <v>78634.92</v>
      </c>
      <c r="N124" s="190"/>
      <c r="O124" s="151" t="n">
        <v>24</v>
      </c>
      <c r="P124" s="149" t="n">
        <v>86775.94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41</v>
      </c>
      <c r="I126" s="160" t="n">
        <v>22</v>
      </c>
      <c r="J126" s="160" t="n">
        <v>24</v>
      </c>
      <c r="K126" s="161" t="n">
        <v>92777.96</v>
      </c>
      <c r="L126" s="161" t="n">
        <f aca="false">M126+N126</f>
        <v>33685.02</v>
      </c>
      <c r="M126" s="161" t="n">
        <v>33685.02</v>
      </c>
      <c r="N126" s="190"/>
      <c r="O126" s="163" t="n">
        <v>23</v>
      </c>
      <c r="P126" s="161" t="n">
        <v>159086.02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11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16749.33</v>
      </c>
      <c r="R132" s="155" t="n">
        <f aca="false">1585.8+1585.8+6070.83+5041.6</f>
        <v>14284.03</v>
      </c>
      <c r="S132" s="156" t="n">
        <f aca="false">2465.3</f>
        <v>2465.3</v>
      </c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39</v>
      </c>
      <c r="I137" s="148" t="n">
        <v>30</v>
      </c>
      <c r="J137" s="148" t="n">
        <v>39</v>
      </c>
      <c r="K137" s="149" t="n">
        <v>99974.14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19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18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9</v>
      </c>
      <c r="I145" s="148" t="n">
        <v>6</v>
      </c>
      <c r="J145" s="148" t="n">
        <v>7</v>
      </c>
      <c r="K145" s="149" t="n">
        <v>8127.9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24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9</v>
      </c>
      <c r="P147" s="161" t="n">
        <v>31735.04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9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9</v>
      </c>
      <c r="I149" s="148" t="n">
        <v>6</v>
      </c>
      <c r="J149" s="148" t="n">
        <v>8</v>
      </c>
      <c r="K149" s="149" t="n">
        <v>16410.93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3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1834.44</v>
      </c>
      <c r="M151" s="149"/>
      <c r="N151" s="224" t="n">
        <v>1834.44</v>
      </c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6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2</v>
      </c>
      <c r="J153" s="160" t="n">
        <v>2</v>
      </c>
      <c r="K153" s="161" t="n">
        <v>22424.13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 t="n">
        <v>1</v>
      </c>
      <c r="J155" s="148" t="n">
        <v>1</v>
      </c>
      <c r="K155" s="149" t="n">
        <v>441.84</v>
      </c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4</v>
      </c>
      <c r="J157" s="160" t="n">
        <v>5</v>
      </c>
      <c r="K157" s="161" t="n">
        <v>7292.31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16</v>
      </c>
      <c r="I159" s="148" t="n">
        <v>14</v>
      </c>
      <c r="J159" s="148" t="n">
        <v>17</v>
      </c>
      <c r="K159" s="149" t="n">
        <v>39506.71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15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31</v>
      </c>
      <c r="I161" s="148" t="n">
        <v>28</v>
      </c>
      <c r="J161" s="193" t="n">
        <v>34</v>
      </c>
      <c r="K161" s="149" t="n">
        <v>47537.67</v>
      </c>
      <c r="L161" s="149" t="n">
        <f aca="false">M161+N161</f>
        <v>37553.38</v>
      </c>
      <c r="M161" s="149" t="n">
        <v>37553.38</v>
      </c>
      <c r="N161" s="190"/>
      <c r="O161" s="163" t="n">
        <v>21</v>
      </c>
      <c r="P161" s="161" t="n">
        <v>141151.82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28</v>
      </c>
      <c r="I165" s="160" t="n">
        <v>26</v>
      </c>
      <c r="J165" s="160" t="n">
        <v>37</v>
      </c>
      <c r="K165" s="140" t="n">
        <v>93291.16</v>
      </c>
      <c r="L165" s="140" t="n">
        <f aca="false">M165+N165</f>
        <v>79081.21</v>
      </c>
      <c r="M165" s="140" t="n">
        <v>71945.49</v>
      </c>
      <c r="N165" s="190" t="n">
        <v>7135.72</v>
      </c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29719.69</v>
      </c>
      <c r="S165" s="190" t="n">
        <v>2761.5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4574.09</v>
      </c>
      <c r="Q169" s="161" t="n">
        <f aca="false">R169+S169</f>
        <v>5797.48</v>
      </c>
      <c r="R169" s="161"/>
      <c r="S169" s="190" t="n">
        <v>5797.48</v>
      </c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25</v>
      </c>
      <c r="I175" s="160" t="n">
        <v>21</v>
      </c>
      <c r="J175" s="160" t="n">
        <v>25</v>
      </c>
      <c r="K175" s="161" t="n">
        <v>29092.64</v>
      </c>
      <c r="L175" s="161" t="n">
        <f aca="false">M175+N175</f>
        <v>15676.78</v>
      </c>
      <c r="M175" s="161" t="n">
        <v>15676.78</v>
      </c>
      <c r="N175" s="190"/>
      <c r="O175" s="163" t="n">
        <v>24</v>
      </c>
      <c r="P175" s="161" t="n">
        <v>63326.02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16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</f>
        <v>11276.8</v>
      </c>
      <c r="S183" s="156" t="n">
        <f aca="false">2945.6</f>
        <v>2945.6</v>
      </c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1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/>
      <c r="N188" s="190" t="n">
        <v>649.87</v>
      </c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8</v>
      </c>
      <c r="I189" s="200" t="n">
        <v>5</v>
      </c>
      <c r="J189" s="200" t="n">
        <v>5</v>
      </c>
      <c r="K189" s="201" t="n">
        <v>10814.36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8689.1</v>
      </c>
      <c r="R190" s="161" t="n">
        <v>7400.4</v>
      </c>
      <c r="S190" s="190" t="n">
        <v>1288.7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45</v>
      </c>
      <c r="I192" s="148" t="n">
        <v>43</v>
      </c>
      <c r="J192" s="148" t="n">
        <v>62</v>
      </c>
      <c r="K192" s="149" t="n">
        <v>97297.63</v>
      </c>
      <c r="L192" s="149" t="n">
        <f aca="false">M192+N192</f>
        <v>89688.59</v>
      </c>
      <c r="M192" s="149" t="n">
        <v>89688.59</v>
      </c>
      <c r="N192" s="190"/>
      <c r="O192" s="151" t="n">
        <v>38</v>
      </c>
      <c r="P192" s="149" t="n">
        <v>139570.66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11</v>
      </c>
      <c r="I194" s="160" t="n">
        <v>7</v>
      </c>
      <c r="J194" s="160" t="n">
        <v>7</v>
      </c>
      <c r="K194" s="161" t="n">
        <v>5850.46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6</v>
      </c>
      <c r="J195" s="165" t="n">
        <v>6</v>
      </c>
      <c r="K195" s="166" t="n">
        <v>9573.2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27</v>
      </c>
      <c r="I196" s="148" t="n">
        <v>15</v>
      </c>
      <c r="J196" s="148" t="n">
        <v>16</v>
      </c>
      <c r="K196" s="149" t="n">
        <v>27701.57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58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30664.96</v>
      </c>
      <c r="N198" s="190" t="n">
        <v>33126.98</v>
      </c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16</v>
      </c>
      <c r="I199" s="154" t="n">
        <v>12</v>
      </c>
      <c r="J199" s="154" t="n">
        <v>12</v>
      </c>
      <c r="K199" s="155" t="n">
        <v>13923.11</v>
      </c>
      <c r="L199" s="155" t="n">
        <v>12266.21</v>
      </c>
      <c r="M199" s="155" t="n">
        <v>12266.21</v>
      </c>
      <c r="N199" s="156" t="n">
        <v>1656.9</v>
      </c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29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17</v>
      </c>
      <c r="J201" s="165" t="n">
        <v>17</v>
      </c>
      <c r="K201" s="166" t="n">
        <v>40563.98</v>
      </c>
      <c r="L201" s="166" t="n">
        <v>32666.09</v>
      </c>
      <c r="M201" s="166" t="n">
        <v>32666.09</v>
      </c>
      <c r="N201" s="156" t="n">
        <v>5872.79</v>
      </c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32</v>
      </c>
      <c r="I202" s="148" t="n">
        <v>27</v>
      </c>
      <c r="J202" s="148" t="n">
        <v>34</v>
      </c>
      <c r="K202" s="149" t="n">
        <v>37552.49</v>
      </c>
      <c r="L202" s="149" t="n">
        <f aca="false">M202+N202</f>
        <v>23180.8</v>
      </c>
      <c r="M202" s="149" t="n">
        <v>23180.8</v>
      </c>
      <c r="N202" s="190"/>
      <c r="O202" s="151" t="n">
        <v>27</v>
      </c>
      <c r="P202" s="149" t="n">
        <v>83185.53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621.99</v>
      </c>
      <c r="M204" s="149"/>
      <c r="N204" s="190" t="n">
        <v>621.99</v>
      </c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16</v>
      </c>
      <c r="J208" s="160" t="n">
        <v>17</v>
      </c>
      <c r="K208" s="161" t="n">
        <v>16625.48</v>
      </c>
      <c r="L208" s="161" t="n">
        <f aca="false">M208+N208</f>
        <v>13026.32</v>
      </c>
      <c r="M208" s="161" t="n">
        <v>13026.32</v>
      </c>
      <c r="N208" s="190"/>
      <c r="O208" s="163" t="n">
        <v>6</v>
      </c>
      <c r="P208" s="161" t="n">
        <v>69258.84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7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11</v>
      </c>
      <c r="J210" s="148" t="n">
        <v>21</v>
      </c>
      <c r="K210" s="149" t="n">
        <v>65227.53</v>
      </c>
      <c r="L210" s="149" t="n">
        <f aca="false">M210+N210</f>
        <v>55173.64</v>
      </c>
      <c r="M210" s="149" t="n">
        <v>55173.64</v>
      </c>
      <c r="N210" s="190"/>
      <c r="O210" s="151" t="n">
        <v>17</v>
      </c>
      <c r="P210" s="149" t="n">
        <v>163313.47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23</v>
      </c>
      <c r="I212" s="160" t="n">
        <v>17</v>
      </c>
      <c r="J212" s="160" t="n">
        <v>31</v>
      </c>
      <c r="K212" s="161" t="n">
        <v>67888.51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7984.73</v>
      </c>
      <c r="N214" s="190" t="n">
        <v>12608.13</v>
      </c>
      <c r="O214" s="151" t="n">
        <v>3</v>
      </c>
      <c r="P214" s="149" t="n">
        <v>5504.35</v>
      </c>
      <c r="Q214" s="149" t="n">
        <f aca="false">R214+S214</f>
        <v>5504.35</v>
      </c>
      <c r="R214" s="149" t="n">
        <v>4329.79</v>
      </c>
      <c r="S214" s="190" t="n">
        <v>1174.56</v>
      </c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5</v>
      </c>
      <c r="I215" s="165" t="n">
        <v>2</v>
      </c>
      <c r="J215" s="165" t="n">
        <v>2</v>
      </c>
      <c r="K215" s="166" t="n">
        <v>3618.8</v>
      </c>
      <c r="L215" s="166" t="n">
        <f aca="false">M215+N215</f>
        <v>3250.6</v>
      </c>
      <c r="M215" s="166" t="n">
        <f aca="false">1409.6</f>
        <v>1409.6</v>
      </c>
      <c r="N215" s="156" t="n">
        <f aca="false">1841</f>
        <v>1841</v>
      </c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10</v>
      </c>
      <c r="P217" s="166" t="n">
        <v>41813.62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27</v>
      </c>
      <c r="I218" s="148" t="n">
        <v>12</v>
      </c>
      <c r="J218" s="148" t="n">
        <v>14</v>
      </c>
      <c r="K218" s="149" t="n">
        <v>28016.6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13</v>
      </c>
      <c r="P218" s="149" t="n">
        <v>42132.95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5</v>
      </c>
      <c r="K219" s="155" t="n">
        <v>11392.97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27</v>
      </c>
      <c r="I220" s="160" t="n">
        <v>16</v>
      </c>
      <c r="J220" s="160" t="n">
        <v>25</v>
      </c>
      <c r="K220" s="161" t="n">
        <v>49851.16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5065.15</v>
      </c>
      <c r="L221" s="166" t="n">
        <f aca="false">M221+N221</f>
        <v>4052.6</v>
      </c>
      <c r="M221" s="166" t="n">
        <v>4052.6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12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</f>
        <v>13991.6</v>
      </c>
      <c r="S223" s="167" t="n">
        <f aca="false">2945.6</f>
        <v>2945.6</v>
      </c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2</v>
      </c>
      <c r="I224" s="148"/>
      <c r="J224" s="148"/>
      <c r="K224" s="149"/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7</v>
      </c>
      <c r="I227" s="154" t="n">
        <v>3</v>
      </c>
      <c r="J227" s="154" t="n">
        <v>3</v>
      </c>
      <c r="K227" s="155" t="n">
        <v>4858.32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26</v>
      </c>
      <c r="I228" s="160" t="n">
        <v>22</v>
      </c>
      <c r="J228" s="160" t="n">
        <v>33</v>
      </c>
      <c r="K228" s="161" t="n">
        <v>49999.33</v>
      </c>
      <c r="L228" s="161" t="n">
        <f aca="false">M228+N228</f>
        <v>45981.11</v>
      </c>
      <c r="M228" s="161" t="n">
        <v>45981.11</v>
      </c>
      <c r="N228" s="190"/>
      <c r="O228" s="163" t="n">
        <v>12</v>
      </c>
      <c r="P228" s="161" t="n">
        <v>72912.46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/>
      <c r="N229" s="156" t="n">
        <f aca="false">552.3</f>
        <v>552.3</v>
      </c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8</v>
      </c>
      <c r="I230" s="148" t="n">
        <v>5</v>
      </c>
      <c r="J230" s="148" t="n">
        <v>5</v>
      </c>
      <c r="K230" s="149" t="n">
        <v>6613.73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6</v>
      </c>
      <c r="P232" s="161" t="n">
        <v>10969.43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5</v>
      </c>
      <c r="J233" s="165" t="n">
        <v>5</v>
      </c>
      <c r="K233" s="166" t="n">
        <v>10225.1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</f>
        <v>5288.75</v>
      </c>
      <c r="N235" s="156" t="n">
        <v>552.3</v>
      </c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4</v>
      </c>
      <c r="J237" s="165" t="n">
        <v>4</v>
      </c>
      <c r="K237" s="166" t="n">
        <v>9664.55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9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17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2</v>
      </c>
      <c r="P242" s="149" t="n">
        <v>15606.38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7648.67</v>
      </c>
      <c r="N244" s="224" t="n">
        <v>5365.21</v>
      </c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3</v>
      </c>
      <c r="J245" s="154" t="n">
        <v>3</v>
      </c>
      <c r="K245" s="155" t="n">
        <v>4166.84</v>
      </c>
      <c r="L245" s="155" t="n">
        <v>3614.54</v>
      </c>
      <c r="M245" s="155" t="n">
        <v>3614.54</v>
      </c>
      <c r="N245" s="226" t="n">
        <v>552.3</v>
      </c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5</v>
      </c>
      <c r="P246" s="161" t="n">
        <v>18277.74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</f>
        <v>11408.7</v>
      </c>
      <c r="N247" s="167" t="n">
        <f aca="false">1288.7</f>
        <v>1288.7</v>
      </c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2599</v>
      </c>
      <c r="I252" s="214" t="n">
        <f aca="false">SUM(I9:I251)</f>
        <v>1661</v>
      </c>
      <c r="J252" s="214" t="n">
        <f aca="false">SUM(J9:J251)</f>
        <v>2023</v>
      </c>
      <c r="K252" s="215" t="n">
        <f aca="false">SUM(K9:K251)</f>
        <v>3657543.15</v>
      </c>
      <c r="L252" s="215" t="n">
        <f aca="false">SUM(L9:L251)</f>
        <v>2829510.33</v>
      </c>
      <c r="M252" s="215" t="n">
        <f aca="false">SUM(M9:M251)</f>
        <v>2582985.96</v>
      </c>
      <c r="N252" s="243" t="n">
        <f aca="false">SUM(N9:N251)</f>
        <v>261889.39</v>
      </c>
      <c r="O252" s="244" t="n">
        <f aca="false">SUM(O9:O251)</f>
        <v>1224</v>
      </c>
      <c r="P252" s="245" t="n">
        <f aca="false">SUM(P9:P251)</f>
        <v>4574514.15</v>
      </c>
      <c r="Q252" s="245" t="n">
        <f aca="false">SUM(Q9:Q251)</f>
        <v>4221612.24</v>
      </c>
      <c r="R252" s="245" t="n">
        <f aca="false">SUM(R9:R251)</f>
        <v>4081016.03</v>
      </c>
      <c r="S252" s="246" t="n">
        <f aca="false">SUM(S9:S251)</f>
        <v>152562.71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1774</v>
      </c>
      <c r="H258" s="108" t="n">
        <f aca="false">SUMIF($G$9:$G$251,$F$258,I9:I251)</f>
        <v>1257</v>
      </c>
      <c r="I258" s="108" t="n">
        <f aca="false">SUMIF($G$9:$G$251,$F$258,J9:J251)</f>
        <v>1612</v>
      </c>
      <c r="J258" s="110" t="n">
        <f aca="false">SUMIF($G$9:$G$251,F258,$K$9:$K$251)</f>
        <v>2940047.48</v>
      </c>
      <c r="K258" s="110" t="n">
        <f aca="false">SUMIF($G$9:$G$251,$F$258,L9:L251)</f>
        <v>2239253.44</v>
      </c>
      <c r="L258" s="110" t="n">
        <f aca="false">SUMIF($G$9:$G$251,$F$258,M9:M251)</f>
        <v>2008567.17</v>
      </c>
      <c r="M258" s="110" t="n">
        <f aca="false">SUMIF($G$9:$G$251,$F$258,N9:N251)</f>
        <v>235765.6</v>
      </c>
      <c r="N258" s="108" t="n">
        <f aca="false">SUMIF($G$9:$G$251,$F$258,O9:O251)</f>
        <v>817</v>
      </c>
      <c r="O258" s="110" t="n">
        <f aca="false">SUMIF($G$9:$G$251,F258,$P$9:$P$251)</f>
        <v>3473352.57</v>
      </c>
      <c r="P258" s="110" t="n">
        <f aca="false">SUMIF($G$9:$G$251,$F$258,Q9:Q251)</f>
        <v>3153676.82</v>
      </c>
      <c r="Q258" s="110" t="n">
        <f aca="false">SUMIF($G$9:$G$251,$F$258,R9:R251)</f>
        <v>3013152.61</v>
      </c>
      <c r="R258" s="110" t="n">
        <f aca="false">SUMIF($G$9:$G$251,$F$258,S9:S251)</f>
        <v>140524.21</v>
      </c>
      <c r="S258" s="110" t="n">
        <f aca="false">Q258+L258</f>
        <v>5021719.78</v>
      </c>
      <c r="T258" s="111" t="n">
        <f aca="false">J258-L258+O258-Q258</f>
        <v>1391680.27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543</v>
      </c>
      <c r="H259" s="108" t="n">
        <f aca="false">SUMIF($G$9:$G$251,$F$259,I9:I251)</f>
        <v>231</v>
      </c>
      <c r="I259" s="108" t="n">
        <f aca="false">SUMIF($G$9:$G$251,$F$259,J9:J251)</f>
        <v>238</v>
      </c>
      <c r="J259" s="110" t="n">
        <f aca="false">SUMIF($G$9:$G$251,F259,$K$9:$K$251)</f>
        <v>477766.48</v>
      </c>
      <c r="K259" s="110" t="n">
        <f aca="false">SUMIF($G$9:$G$251,$F$259,L9:L251)</f>
        <v>375270.74</v>
      </c>
      <c r="L259" s="110" t="n">
        <f aca="false">SUMIF($G$9:$G$251,$F$259,M9:M251)</f>
        <v>359432.64</v>
      </c>
      <c r="M259" s="110" t="n">
        <f aca="false">SUMIF($G$9:$G$251,$F$259,N9:N251)</f>
        <v>15832.6</v>
      </c>
      <c r="N259" s="108" t="n">
        <f aca="false">SUMIF($G$9:$G$251,$F$259,O9:O251)</f>
        <v>296</v>
      </c>
      <c r="O259" s="110" t="n">
        <f aca="false">SUMIF($G$9:$G$251,F259,$P$9:$P$251)</f>
        <v>868589.28</v>
      </c>
      <c r="P259" s="110" t="n">
        <f aca="false">SUMIF($G$9:$G$251,$F$259,Q9:Q251)</f>
        <v>843095.32</v>
      </c>
      <c r="Q259" s="110" t="n">
        <f aca="false">SUMIF($G$9:$G$251,$F$259,R9:R251)</f>
        <v>843023.32</v>
      </c>
      <c r="R259" s="110" t="n">
        <f aca="false">SUMIF($G$9:$G$251,$F$259,S9:S251)</f>
        <v>10749.8</v>
      </c>
      <c r="S259" s="110" t="n">
        <f aca="false">Q259+L259</f>
        <v>1202455.96</v>
      </c>
      <c r="T259" s="111" t="n">
        <f aca="false">J259-L259+O259-Q259</f>
        <v>143899.8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282</v>
      </c>
      <c r="H260" s="108" t="n">
        <f aca="false">SUMIF($G$9:$G$251,$F$260,I9:I251)</f>
        <v>173</v>
      </c>
      <c r="I260" s="108" t="n">
        <f aca="false">SUMIF($G$9:$G$251,$F$260,J9:J251)</f>
        <v>173</v>
      </c>
      <c r="J260" s="110" t="n">
        <f aca="false">SUMIF($G$9:$G$251,F260,$K$9:$K$251)</f>
        <v>239729.19</v>
      </c>
      <c r="K260" s="110" t="n">
        <f aca="false">SUMIF($G$9:$G$251,$F$260,L9:L251)</f>
        <v>214986.15</v>
      </c>
      <c r="L260" s="110" t="n">
        <f aca="false">SUMIF($G$9:$G$251,$F$260,M9:M251)</f>
        <v>214986.15</v>
      </c>
      <c r="M260" s="110" t="n">
        <f aca="false">SUMIF($G$9:$G$251,$F$260,N9:N251)</f>
        <v>10291.19</v>
      </c>
      <c r="N260" s="108" t="n">
        <f aca="false">SUMIF($G$9:$G$251,$F$260,O9:O251)</f>
        <v>111</v>
      </c>
      <c r="O260" s="110" t="n">
        <f aca="false">SUMIF($G$9:$G$251,F260,$P$9:$P$251)</f>
        <v>232572.3</v>
      </c>
      <c r="P260" s="110" t="n">
        <f aca="false">SUMIF($G$9:$G$251,$F$260,Q9:Q251)</f>
        <v>224840.1</v>
      </c>
      <c r="Q260" s="110" t="n">
        <f aca="false">SUMIF($G$9:$G$251,$F$260,R9:R251)</f>
        <v>224840.1</v>
      </c>
      <c r="R260" s="110" t="n">
        <f aca="false">SUMIF($G$9:$G$251,$F$260,S9:S251)</f>
        <v>1288.7</v>
      </c>
      <c r="S260" s="110" t="n">
        <f aca="false">Q260+L260</f>
        <v>439826.25</v>
      </c>
      <c r="T260" s="111" t="n">
        <f aca="false">J260-L260+O260-Q260</f>
        <v>32475.24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2599</v>
      </c>
      <c r="H261" s="216" t="n">
        <f aca="false">H260+H259+H258</f>
        <v>1661</v>
      </c>
      <c r="I261" s="216" t="n">
        <f aca="false">I260+I259+I258</f>
        <v>2023</v>
      </c>
      <c r="J261" s="217" t="n">
        <f aca="false">J260+J259+J258</f>
        <v>3657543.15</v>
      </c>
      <c r="K261" s="217" t="n">
        <f aca="false">K260+K259+K258</f>
        <v>2829510.33</v>
      </c>
      <c r="L261" s="217" t="n">
        <f aca="false">L260+L259+L258</f>
        <v>2582985.96</v>
      </c>
      <c r="M261" s="217" t="n">
        <f aca="false">M260+M259+M258</f>
        <v>261889.39</v>
      </c>
      <c r="N261" s="216" t="n">
        <f aca="false">N260+N259+N258</f>
        <v>1224</v>
      </c>
      <c r="O261" s="217" t="n">
        <f aca="false">O260+O259+O258</f>
        <v>4574514.15</v>
      </c>
      <c r="P261" s="217" t="n">
        <f aca="false">P260+P259+P258</f>
        <v>4221612.24</v>
      </c>
      <c r="Q261" s="217" t="n">
        <f aca="false">Q260+Q259+Q258</f>
        <v>4081016.03</v>
      </c>
      <c r="R261" s="217" t="n">
        <f aca="false">R260+R259+R258</f>
        <v>152562.71</v>
      </c>
      <c r="S261" s="217" t="n">
        <f aca="false">S260+S259+S258</f>
        <v>6664001.99</v>
      </c>
      <c r="T261" s="217" t="n">
        <f aca="false">T260+T259+T258</f>
        <v>1568055.31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1750</v>
      </c>
      <c r="H322" s="247" t="n">
        <v>1202</v>
      </c>
      <c r="I322" s="247" t="n">
        <v>1541</v>
      </c>
      <c r="J322" s="0" t="n">
        <v>2769842.4</v>
      </c>
      <c r="K322" s="236"/>
      <c r="N322" s="0" t="n">
        <v>803</v>
      </c>
      <c r="O322" s="0" t="n">
        <v>3427062.53</v>
      </c>
    </row>
    <row r="323" customFormat="false" ht="15" hidden="false" customHeight="false" outlineLevel="0" collapsed="false">
      <c r="G323" s="221" t="n">
        <f aca="false">G258-G322</f>
        <v>24</v>
      </c>
      <c r="H323" s="221" t="n">
        <f aca="false">H258-H322</f>
        <v>55</v>
      </c>
      <c r="I323" s="221" t="n">
        <f aca="false">I258-I322</f>
        <v>71</v>
      </c>
      <c r="J323" s="229" t="n">
        <f aca="false">J258-J322</f>
        <v>170205.08</v>
      </c>
      <c r="K323" s="236"/>
      <c r="N323" s="221" t="n">
        <f aca="false">N258-N322</f>
        <v>14</v>
      </c>
      <c r="O323" s="229" t="n">
        <f aca="false">O258-O322</f>
        <v>46290.04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 t="n">
        <v>2</v>
      </c>
      <c r="J10" s="154" t="n">
        <v>2</v>
      </c>
      <c r="K10" s="155" t="n">
        <v>2209.2</v>
      </c>
      <c r="L10" s="155" t="n">
        <v>2209.2</v>
      </c>
      <c r="M10" s="155" t="n">
        <v>2209.2</v>
      </c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28</v>
      </c>
      <c r="I11" s="160" t="n">
        <v>21</v>
      </c>
      <c r="J11" s="160" t="n">
        <v>36</v>
      </c>
      <c r="K11" s="161" t="n">
        <v>79121.66</v>
      </c>
      <c r="L11" s="161" t="n">
        <v>71801.93</v>
      </c>
      <c r="M11" s="161" t="n">
        <v>71801.93</v>
      </c>
      <c r="N11" s="239" t="n">
        <v>5079.33</v>
      </c>
      <c r="O11" s="151" t="n">
        <v>11</v>
      </c>
      <c r="P11" s="149" t="n">
        <v>44687.32</v>
      </c>
      <c r="Q11" s="149" t="n">
        <f aca="false">R11+S11</f>
        <v>44135.02</v>
      </c>
      <c r="R11" s="149" t="n">
        <v>39893.36</v>
      </c>
      <c r="S11" s="150" t="n">
        <v>4241.66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1841</v>
      </c>
      <c r="M12" s="166" t="n">
        <f aca="false">1841</f>
        <v>1841</v>
      </c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37</v>
      </c>
      <c r="I13" s="148" t="n">
        <v>31</v>
      </c>
      <c r="J13" s="148" t="n">
        <v>47</v>
      </c>
      <c r="K13" s="149" t="n">
        <v>76104.05</v>
      </c>
      <c r="L13" s="149" t="n">
        <f aca="false">M13+N13</f>
        <v>75001.38</v>
      </c>
      <c r="M13" s="149" t="n">
        <v>75001.38</v>
      </c>
      <c r="N13" s="249"/>
      <c r="O13" s="228" t="n">
        <v>8</v>
      </c>
      <c r="P13" s="161" t="n">
        <v>31855.11</v>
      </c>
      <c r="Q13" s="161" t="n">
        <f aca="false">R13+S13</f>
        <v>31855.11</v>
      </c>
      <c r="R13" s="161" t="n">
        <v>31855.11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13416.55</v>
      </c>
      <c r="M14" s="155" t="n">
        <f aca="false">1938.2+5638.4+4017.36+1822.59</f>
        <v>13416.55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4</v>
      </c>
      <c r="J16" s="165" t="n">
        <v>4</v>
      </c>
      <c r="K16" s="166" t="n">
        <v>9191.6</v>
      </c>
      <c r="L16" s="166" t="n">
        <f aca="false">M16+N16</f>
        <v>4405</v>
      </c>
      <c r="M16" s="166" t="n">
        <f aca="false">4405</f>
        <v>4405</v>
      </c>
      <c r="N16" s="167"/>
      <c r="O16" s="168" t="n">
        <v>5</v>
      </c>
      <c r="P16" s="166" t="n">
        <v>31011.2</v>
      </c>
      <c r="Q16" s="166" t="n">
        <f aca="false">R16+S16</f>
        <v>25827.9</v>
      </c>
      <c r="R16" s="166" t="n">
        <f aca="false">23434.6+2393.3</f>
        <v>25827.9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23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8</v>
      </c>
      <c r="J20" s="154" t="n">
        <v>8</v>
      </c>
      <c r="K20" s="155" t="n">
        <v>6300</v>
      </c>
      <c r="L20" s="155" t="n">
        <f aca="false">M20+N20</f>
        <v>4643.1</v>
      </c>
      <c r="M20" s="155" t="n">
        <f aca="false">2986.2+1656.9</f>
        <v>4643.1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24</v>
      </c>
      <c r="I21" s="160" t="n">
        <v>17</v>
      </c>
      <c r="J21" s="160" t="n">
        <v>23</v>
      </c>
      <c r="K21" s="161" t="n">
        <v>30113.95</v>
      </c>
      <c r="L21" s="161" t="n">
        <f aca="false">M21+N21</f>
        <v>21199.65</v>
      </c>
      <c r="M21" s="161" t="n">
        <v>21199.65</v>
      </c>
      <c r="N21" s="190"/>
      <c r="O21" s="163" t="n">
        <v>20</v>
      </c>
      <c r="P21" s="161" t="n">
        <v>51655.43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4</v>
      </c>
      <c r="P22" s="155" t="n">
        <v>4604.9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32</v>
      </c>
      <c r="I23" s="160" t="n">
        <v>25</v>
      </c>
      <c r="J23" s="160" t="n">
        <v>41</v>
      </c>
      <c r="K23" s="161" t="n">
        <v>59451.25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30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28</v>
      </c>
      <c r="I27" s="160" t="n">
        <v>27</v>
      </c>
      <c r="J27" s="160" t="n">
        <v>43</v>
      </c>
      <c r="K27" s="161" t="n">
        <v>91809.04</v>
      </c>
      <c r="L27" s="161" t="n">
        <f aca="false">M27+N27</f>
        <v>77966.2</v>
      </c>
      <c r="M27" s="161" t="n">
        <v>68607.98</v>
      </c>
      <c r="N27" s="190" t="n">
        <v>9358.22</v>
      </c>
      <c r="O27" s="151" t="n">
        <v>9</v>
      </c>
      <c r="P27" s="149" t="n">
        <v>30370.2</v>
      </c>
      <c r="Q27" s="149" t="n">
        <f aca="false">R27+S27</f>
        <v>28995.84</v>
      </c>
      <c r="R27" s="149" t="n">
        <v>20128.87</v>
      </c>
      <c r="S27" s="198" t="n">
        <v>8866.97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6</v>
      </c>
      <c r="J28" s="165" t="n">
        <v>6</v>
      </c>
      <c r="K28" s="166" t="n">
        <v>5888.45</v>
      </c>
      <c r="L28" s="166" t="n">
        <f aca="false">M28+N28</f>
        <v>5336.15</v>
      </c>
      <c r="M28" s="166" t="n">
        <f aca="false">3126.95+2209.2</f>
        <v>5336.15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</f>
        <v>38495.8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11</v>
      </c>
      <c r="P30" s="166" t="n">
        <v>72242.1</v>
      </c>
      <c r="Q30" s="166" t="n">
        <f aca="false">R30+S30</f>
        <v>44754.9</v>
      </c>
      <c r="R30" s="166" t="n">
        <v>44754.9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10</v>
      </c>
      <c r="I33" s="160" t="n">
        <v>5</v>
      </c>
      <c r="J33" s="160" t="n">
        <v>6</v>
      </c>
      <c r="K33" s="161" t="n">
        <v>13109.76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4</v>
      </c>
      <c r="J34" s="165" t="n">
        <v>4</v>
      </c>
      <c r="K34" s="166" t="n">
        <v>9718.14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2549.79</v>
      </c>
      <c r="M35" s="149"/>
      <c r="N35" s="150" t="n">
        <v>2549.79</v>
      </c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26</v>
      </c>
      <c r="I43" s="160" t="n">
        <v>22</v>
      </c>
      <c r="J43" s="160" t="n">
        <v>28</v>
      </c>
      <c r="K43" s="161" t="n">
        <v>52986.66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36186.09</v>
      </c>
      <c r="R46" s="166" t="n">
        <f aca="false">19654.4+16319.08+212.61</f>
        <v>36186.09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2</v>
      </c>
      <c r="J47" s="148" t="n">
        <v>2</v>
      </c>
      <c r="K47" s="149" t="n">
        <v>6630.21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5</v>
      </c>
      <c r="J48" s="154" t="n">
        <v>5</v>
      </c>
      <c r="K48" s="155" t="n">
        <v>12370.48</v>
      </c>
      <c r="L48" s="155" t="n">
        <f aca="false">M48+N48</f>
        <v>6989.68</v>
      </c>
      <c r="M48" s="155" t="n">
        <f aca="false">5885.08+1104.6</f>
        <v>6989.68</v>
      </c>
      <c r="N48" s="156"/>
      <c r="O48" s="157" t="n">
        <v>9</v>
      </c>
      <c r="P48" s="155" t="n">
        <v>18952.33</v>
      </c>
      <c r="Q48" s="155" t="n">
        <f aca="false">R48+S48</f>
        <v>18952.33</v>
      </c>
      <c r="R48" s="155" t="n">
        <f aca="false">16697.1+966.53+1288.7</f>
        <v>18952.33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5</v>
      </c>
      <c r="J51" s="160" t="n">
        <v>9</v>
      </c>
      <c r="K51" s="161" t="n">
        <v>12825.23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62</v>
      </c>
      <c r="I53" s="148" t="n">
        <v>55</v>
      </c>
      <c r="J53" s="148" t="n">
        <v>58</v>
      </c>
      <c r="K53" s="149" t="n">
        <v>85630.67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41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12</v>
      </c>
      <c r="I57" s="160" t="n">
        <v>7</v>
      </c>
      <c r="J57" s="160" t="n">
        <v>9</v>
      </c>
      <c r="K57" s="161" t="n">
        <v>27282.46</v>
      </c>
      <c r="L57" s="161" t="n">
        <f aca="false">M57+N57</f>
        <v>7518.67</v>
      </c>
      <c r="M57" s="161" t="n">
        <v>2654.28</v>
      </c>
      <c r="N57" s="190" t="n">
        <v>4864.39</v>
      </c>
      <c r="O57" s="163" t="n">
        <v>4</v>
      </c>
      <c r="P57" s="161" t="n">
        <v>20218.72</v>
      </c>
      <c r="Q57" s="161" t="n">
        <f aca="false">R57+S57</f>
        <v>20218.72</v>
      </c>
      <c r="R57" s="161" t="n">
        <v>18745.92</v>
      </c>
      <c r="S57" s="190" t="n">
        <v>1472.8</v>
      </c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7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10</v>
      </c>
      <c r="P58" s="166" t="n">
        <v>33429.49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9</v>
      </c>
      <c r="I59" s="148" t="n">
        <v>7</v>
      </c>
      <c r="J59" s="148" t="n">
        <v>10</v>
      </c>
      <c r="K59" s="149" t="n">
        <v>27453.29</v>
      </c>
      <c r="L59" s="149" t="n">
        <f aca="false">M59+N59</f>
        <v>22291.35</v>
      </c>
      <c r="M59" s="149" t="n">
        <v>22291.35</v>
      </c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14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0</v>
      </c>
      <c r="M62" s="166"/>
      <c r="N62" s="156"/>
      <c r="O62" s="168" t="n">
        <v>10</v>
      </c>
      <c r="P62" s="166" t="n">
        <v>4249</v>
      </c>
      <c r="Q62" s="166" t="n">
        <f aca="false">R62+S62</f>
        <v>4249</v>
      </c>
      <c r="R62" s="166" t="n">
        <f aca="false">4249</f>
        <v>4249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11</v>
      </c>
      <c r="I63" s="148" t="n">
        <v>5</v>
      </c>
      <c r="J63" s="148" t="n">
        <v>5</v>
      </c>
      <c r="K63" s="149" t="n">
        <v>2212.02</v>
      </c>
      <c r="L63" s="149" t="n">
        <f aca="false">M63+N63</f>
        <v>2154.14</v>
      </c>
      <c r="M63" s="149" t="n">
        <v>881</v>
      </c>
      <c r="N63" s="190" t="n">
        <v>1273.14</v>
      </c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9</v>
      </c>
      <c r="I64" s="154" t="n">
        <v>5</v>
      </c>
      <c r="J64" s="154" t="n">
        <v>5</v>
      </c>
      <c r="K64" s="155" t="n">
        <v>7403.15</v>
      </c>
      <c r="L64" s="155" t="n">
        <f aca="false">M64+N64</f>
        <v>6850.85</v>
      </c>
      <c r="M64" s="155" t="n">
        <f aca="false">5286+1564.85</f>
        <v>6850.85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10</v>
      </c>
      <c r="J67" s="148" t="n">
        <v>14</v>
      </c>
      <c r="K67" s="149" t="n">
        <v>29586.56</v>
      </c>
      <c r="L67" s="149" t="n">
        <f aca="false">M67+N67</f>
        <v>22953.9</v>
      </c>
      <c r="M67" s="149" t="n">
        <v>3717.82</v>
      </c>
      <c r="N67" s="190" t="n">
        <v>19236.08</v>
      </c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11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16</v>
      </c>
      <c r="I69" s="160" t="n">
        <v>9</v>
      </c>
      <c r="J69" s="160" t="n">
        <v>14</v>
      </c>
      <c r="K69" s="161" t="n">
        <v>24672</v>
      </c>
      <c r="L69" s="161" t="n">
        <f aca="false">M69+N69</f>
        <v>24253.38</v>
      </c>
      <c r="M69" s="161" t="n">
        <v>21739.72</v>
      </c>
      <c r="N69" s="190" t="n">
        <v>2513.66</v>
      </c>
      <c r="O69" s="163" t="n">
        <v>11</v>
      </c>
      <c r="P69" s="161" t="n">
        <v>64116.78</v>
      </c>
      <c r="Q69" s="161" t="n">
        <f aca="false">R69+S69</f>
        <v>64116.78</v>
      </c>
      <c r="R69" s="161" t="n">
        <v>62059.28</v>
      </c>
      <c r="S69" s="190" t="n">
        <v>2057.5</v>
      </c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33</v>
      </c>
      <c r="I71" s="148" t="n">
        <v>26</v>
      </c>
      <c r="J71" s="148" t="n">
        <v>36</v>
      </c>
      <c r="K71" s="149" t="n">
        <v>75290.63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41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 t="n">
        <v>1</v>
      </c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5</v>
      </c>
      <c r="I76" s="154" t="n">
        <v>1</v>
      </c>
      <c r="J76" s="154" t="n">
        <v>1</v>
      </c>
      <c r="K76" s="155" t="n">
        <v>2577.4</v>
      </c>
      <c r="L76" s="155" t="n">
        <f aca="false">M76+N76</f>
        <v>2577.4</v>
      </c>
      <c r="M76" s="155" t="n">
        <f aca="false">2577.4</f>
        <v>2577.4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20</v>
      </c>
      <c r="I81" s="148" t="n">
        <v>11</v>
      </c>
      <c r="J81" s="148" t="n">
        <v>11</v>
      </c>
      <c r="K81" s="149" t="n">
        <v>45671.29</v>
      </c>
      <c r="L81" s="149" t="n">
        <f aca="false">M81+N81</f>
        <v>32053.43</v>
      </c>
      <c r="M81" s="149" t="n">
        <v>24732.4</v>
      </c>
      <c r="N81" s="190" t="n">
        <v>7321.03</v>
      </c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4748.3</v>
      </c>
      <c r="R84" s="166" t="n">
        <f aca="false">2907.3+1841</f>
        <v>4748.3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11</v>
      </c>
      <c r="P85" s="149" t="n">
        <v>33167.87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1841+1656.9</f>
        <v>3497.9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17</v>
      </c>
      <c r="I89" s="148" t="n">
        <v>7</v>
      </c>
      <c r="J89" s="148" t="n">
        <v>9</v>
      </c>
      <c r="K89" s="149" t="n">
        <v>13028.25</v>
      </c>
      <c r="L89" s="149" t="n">
        <f aca="false">M89+N89</f>
        <v>8723.07</v>
      </c>
      <c r="M89" s="149" t="n">
        <v>8723.07</v>
      </c>
      <c r="N89" s="190"/>
      <c r="O89" s="151" t="n">
        <v>14</v>
      </c>
      <c r="P89" s="149" t="n">
        <v>52948.85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40</v>
      </c>
      <c r="I90" s="165" t="n">
        <v>40</v>
      </c>
      <c r="J90" s="165" t="n">
        <v>40</v>
      </c>
      <c r="K90" s="166" t="n">
        <v>45752.4</v>
      </c>
      <c r="L90" s="166" t="n">
        <v>45752.4</v>
      </c>
      <c r="M90" s="166" t="n">
        <v>45752.4</v>
      </c>
      <c r="N90" s="156"/>
      <c r="O90" s="168" t="n">
        <v>41</v>
      </c>
      <c r="P90" s="166" t="n">
        <v>93370.07</v>
      </c>
      <c r="Q90" s="166" t="n">
        <v>93370.07</v>
      </c>
      <c r="R90" s="166" t="n">
        <v>93370.07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10</v>
      </c>
      <c r="I91" s="148" t="n">
        <v>8</v>
      </c>
      <c r="J91" s="148" t="n">
        <v>9</v>
      </c>
      <c r="K91" s="149" t="n">
        <v>12123.33</v>
      </c>
      <c r="L91" s="149" t="n">
        <f aca="false">M91+N91</f>
        <v>10742.58</v>
      </c>
      <c r="M91" s="149" t="n">
        <v>7056.9</v>
      </c>
      <c r="N91" s="190" t="n">
        <v>3685.68</v>
      </c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9</v>
      </c>
      <c r="J93" s="148" t="n">
        <v>13</v>
      </c>
      <c r="K93" s="149" t="n">
        <v>31245.45</v>
      </c>
      <c r="L93" s="149" t="n">
        <f aca="false">M93+N93</f>
        <v>28957.76</v>
      </c>
      <c r="M93" s="149" t="n">
        <v>17007.72</v>
      </c>
      <c r="N93" s="190" t="n">
        <v>11950.04</v>
      </c>
      <c r="O93" s="151" t="n">
        <v>17</v>
      </c>
      <c r="P93" s="149" t="n">
        <v>56917.37</v>
      </c>
      <c r="Q93" s="149" t="n">
        <f aca="false">R93+S93</f>
        <v>56917.37</v>
      </c>
      <c r="R93" s="149" t="n">
        <v>48957.86</v>
      </c>
      <c r="S93" s="190" t="n">
        <v>7959.51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8812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13</v>
      </c>
      <c r="I97" s="160" t="n">
        <v>11</v>
      </c>
      <c r="J97" s="160" t="n">
        <v>16</v>
      </c>
      <c r="K97" s="161" t="n">
        <v>26173.65</v>
      </c>
      <c r="L97" s="161" t="n">
        <f aca="false">M97+N97</f>
        <v>22159.57</v>
      </c>
      <c r="M97" s="161" t="n">
        <v>11231.55</v>
      </c>
      <c r="N97" s="190" t="n">
        <v>10928.02</v>
      </c>
      <c r="O97" s="163" t="n">
        <v>9</v>
      </c>
      <c r="P97" s="161" t="n">
        <v>62858.94</v>
      </c>
      <c r="Q97" s="161" t="n">
        <f aca="false">R97+S97</f>
        <v>62858.94</v>
      </c>
      <c r="R97" s="161" t="n">
        <v>51100.74</v>
      </c>
      <c r="S97" s="190" t="n">
        <v>11758.2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4</v>
      </c>
      <c r="J100" s="154" t="n">
        <v>4</v>
      </c>
      <c r="K100" s="155" t="n">
        <v>14343.3</v>
      </c>
      <c r="L100" s="155" t="n">
        <f aca="false">M100+N100</f>
        <v>10924.4</v>
      </c>
      <c r="M100" s="155" t="n">
        <f aca="false">10924.4</f>
        <v>10924.4</v>
      </c>
      <c r="N100" s="156"/>
      <c r="O100" s="157" t="n">
        <v>3</v>
      </c>
      <c r="P100" s="155" t="s">
        <v>303</v>
      </c>
      <c r="Q100" s="155" t="n">
        <f aca="false">R100+S100</f>
        <v>1762</v>
      </c>
      <c r="R100" s="155" t="n">
        <f aca="false">1762</f>
        <v>1762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38</v>
      </c>
      <c r="I101" s="160" t="n">
        <v>28</v>
      </c>
      <c r="J101" s="160" t="n">
        <v>32</v>
      </c>
      <c r="K101" s="161" t="n">
        <v>62669.77</v>
      </c>
      <c r="L101" s="161" t="n">
        <f aca="false">M101+N101</f>
        <v>50881.45</v>
      </c>
      <c r="M101" s="161" t="n">
        <v>50881.45</v>
      </c>
      <c r="N101" s="190"/>
      <c r="O101" s="163" t="n">
        <v>27</v>
      </c>
      <c r="P101" s="161" t="n">
        <v>154971.25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28929.2</v>
      </c>
      <c r="R102" s="166" t="n">
        <f aca="false">21936.9+1233.4+5758.9</f>
        <v>28929.2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26</v>
      </c>
      <c r="I103" s="148" t="n">
        <v>18</v>
      </c>
      <c r="J103" s="148" t="n">
        <v>18</v>
      </c>
      <c r="K103" s="149" t="n">
        <v>14524.2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3</v>
      </c>
      <c r="P103" s="149" t="n">
        <v>18333.88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9735.05</v>
      </c>
      <c r="R104" s="165" t="n">
        <f aca="false">9735.05</f>
        <v>9735.05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13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11</v>
      </c>
      <c r="P105" s="149" t="n">
        <v>56733.17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10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11</v>
      </c>
      <c r="I108" s="160" t="n">
        <v>8</v>
      </c>
      <c r="J108" s="160" t="n">
        <v>10</v>
      </c>
      <c r="K108" s="161" t="n">
        <v>19070.63</v>
      </c>
      <c r="L108" s="161" t="n">
        <f aca="false">M108+N108</f>
        <v>13195.1</v>
      </c>
      <c r="M108" s="161" t="n">
        <v>11123.42</v>
      </c>
      <c r="N108" s="190" t="n">
        <v>2071.68</v>
      </c>
      <c r="O108" s="163" t="n">
        <v>12</v>
      </c>
      <c r="P108" s="161" t="n">
        <v>43029.23</v>
      </c>
      <c r="Q108" s="161" t="n">
        <f aca="false">R108+S108</f>
        <v>40146.74</v>
      </c>
      <c r="R108" s="161" t="n">
        <v>35453.78</v>
      </c>
      <c r="S108" s="190" t="n">
        <v>4692.96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11</v>
      </c>
      <c r="I110" s="148" t="n">
        <v>7</v>
      </c>
      <c r="J110" s="148" t="n">
        <v>8</v>
      </c>
      <c r="K110" s="149" t="n">
        <v>10898.87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34</v>
      </c>
      <c r="I112" s="148" t="n">
        <v>32</v>
      </c>
      <c r="J112" s="148" t="n">
        <v>42</v>
      </c>
      <c r="K112" s="149" t="n">
        <v>58115.02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9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/>
      <c r="N114" s="190" t="n">
        <v>386.61</v>
      </c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16</v>
      </c>
      <c r="I116" s="160" t="n">
        <v>10</v>
      </c>
      <c r="J116" s="160" t="n">
        <v>11</v>
      </c>
      <c r="K116" s="161" t="n">
        <v>11822.95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 t="n">
        <f aca="false">8100.4</f>
        <v>8100.4</v>
      </c>
      <c r="N117" s="156"/>
      <c r="O117" s="157" t="n">
        <v>9</v>
      </c>
      <c r="P117" s="155" t="n">
        <v>22553.6</v>
      </c>
      <c r="Q117" s="155" t="n">
        <f aca="false">R117+S117</f>
        <v>22553.6</v>
      </c>
      <c r="R117" s="155" t="n">
        <f aca="false">528.6+22025</f>
        <v>22553.6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35</v>
      </c>
      <c r="I118" s="160" t="n">
        <v>30</v>
      </c>
      <c r="J118" s="160" t="n">
        <v>44</v>
      </c>
      <c r="K118" s="161" t="n">
        <v>84289.44</v>
      </c>
      <c r="L118" s="161" t="n">
        <f aca="false">M118+N118</f>
        <v>46541.91</v>
      </c>
      <c r="M118" s="161" t="n">
        <v>46541.91</v>
      </c>
      <c r="N118" s="190"/>
      <c r="O118" s="163" t="n">
        <v>30</v>
      </c>
      <c r="P118" s="161" t="n">
        <v>58377.09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46</v>
      </c>
      <c r="I122" s="148" t="n">
        <v>33</v>
      </c>
      <c r="J122" s="148" t="n">
        <v>41</v>
      </c>
      <c r="K122" s="149" t="n">
        <v>54037.51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29</v>
      </c>
      <c r="I123" s="165" t="n">
        <v>19</v>
      </c>
      <c r="J123" s="165" t="n">
        <v>19</v>
      </c>
      <c r="K123" s="166" t="n">
        <v>21121.69</v>
      </c>
      <c r="L123" s="166" t="n">
        <v>21121.69</v>
      </c>
      <c r="M123" s="166" t="n">
        <v>21121.69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33</v>
      </c>
      <c r="I124" s="148" t="n">
        <v>22</v>
      </c>
      <c r="J124" s="148" t="n">
        <v>31</v>
      </c>
      <c r="K124" s="149" t="n">
        <v>135956</v>
      </c>
      <c r="L124" s="149" t="n">
        <f aca="false">M124+N124</f>
        <v>78634.92</v>
      </c>
      <c r="M124" s="149" t="n">
        <v>78634.92</v>
      </c>
      <c r="N124" s="190"/>
      <c r="O124" s="151" t="n">
        <v>24</v>
      </c>
      <c r="P124" s="149" t="n">
        <v>86775.94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41</v>
      </c>
      <c r="I126" s="160" t="n">
        <v>22</v>
      </c>
      <c r="J126" s="160" t="n">
        <v>24</v>
      </c>
      <c r="K126" s="161" t="n">
        <v>92777.96</v>
      </c>
      <c r="L126" s="161" t="n">
        <f aca="false">M126+N126</f>
        <v>33685.02</v>
      </c>
      <c r="M126" s="161" t="n">
        <v>33685.02</v>
      </c>
      <c r="N126" s="190"/>
      <c r="O126" s="163" t="n">
        <v>23</v>
      </c>
      <c r="P126" s="161" t="n">
        <v>159086.02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11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16749.33</v>
      </c>
      <c r="R132" s="155" t="n">
        <f aca="false">1585.8+1585.8+6070.83+5041.6+2465.3</f>
        <v>16749.33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40</v>
      </c>
      <c r="I137" s="148" t="n">
        <v>30</v>
      </c>
      <c r="J137" s="148" t="n">
        <v>39</v>
      </c>
      <c r="K137" s="149" t="n">
        <v>99974.14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19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14990.46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18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9</v>
      </c>
      <c r="I145" s="148" t="n">
        <v>6</v>
      </c>
      <c r="J145" s="148" t="n">
        <v>7</v>
      </c>
      <c r="K145" s="149" t="n">
        <v>8127.9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24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9</v>
      </c>
      <c r="P147" s="161" t="n">
        <v>31735.04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9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9</v>
      </c>
      <c r="I149" s="148" t="n">
        <v>6</v>
      </c>
      <c r="J149" s="148" t="n">
        <v>8</v>
      </c>
      <c r="K149" s="149" t="n">
        <v>16410.93</v>
      </c>
      <c r="L149" s="149" t="n">
        <f aca="false">M149+N149</f>
        <v>8028.11</v>
      </c>
      <c r="M149" s="149" t="n">
        <v>8028.11</v>
      </c>
      <c r="N149" s="190"/>
      <c r="O149" s="151" t="n">
        <v>11</v>
      </c>
      <c r="P149" s="149" t="n">
        <v>78508.52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3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1834.44</v>
      </c>
      <c r="M151" s="149"/>
      <c r="N151" s="224" t="n">
        <v>1834.44</v>
      </c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6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0</v>
      </c>
      <c r="M152" s="155"/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2</v>
      </c>
      <c r="J153" s="160" t="n">
        <v>2</v>
      </c>
      <c r="K153" s="161" t="n">
        <v>22424.13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 t="n">
        <v>2</v>
      </c>
      <c r="J155" s="148" t="n">
        <v>2</v>
      </c>
      <c r="K155" s="149" t="n">
        <v>7305.59</v>
      </c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5</v>
      </c>
      <c r="J157" s="160" t="n">
        <v>6</v>
      </c>
      <c r="K157" s="161" t="n">
        <v>11616.15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7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17</v>
      </c>
      <c r="I159" s="148" t="n">
        <v>14</v>
      </c>
      <c r="J159" s="148" t="n">
        <v>17</v>
      </c>
      <c r="K159" s="149" t="n">
        <v>39506.71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8</v>
      </c>
      <c r="J160" s="165" t="n">
        <v>8</v>
      </c>
      <c r="K160" s="166" t="n">
        <v>25793.28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16</v>
      </c>
      <c r="P160" s="155" t="n">
        <v>73281.66</v>
      </c>
      <c r="Q160" s="155" t="n">
        <f aca="false">R160+S160</f>
        <v>73281.66</v>
      </c>
      <c r="R160" s="155" t="n">
        <f aca="false">66838.16+5891.2+552.3</f>
        <v>73281.66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32</v>
      </c>
      <c r="I161" s="148" t="n">
        <v>28</v>
      </c>
      <c r="J161" s="193" t="n">
        <v>34</v>
      </c>
      <c r="K161" s="149" t="n">
        <v>47537.67</v>
      </c>
      <c r="L161" s="149" t="n">
        <f aca="false">M161+N161</f>
        <v>37553.38</v>
      </c>
      <c r="M161" s="149" t="n">
        <v>37553.38</v>
      </c>
      <c r="N161" s="190"/>
      <c r="O161" s="163" t="n">
        <v>21</v>
      </c>
      <c r="P161" s="161" t="n">
        <v>141151.82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30</v>
      </c>
      <c r="I165" s="160" t="n">
        <v>27</v>
      </c>
      <c r="J165" s="160" t="n">
        <v>39</v>
      </c>
      <c r="K165" s="140" t="n">
        <v>96191.38</v>
      </c>
      <c r="L165" s="140" t="n">
        <f aca="false">M165+N165</f>
        <v>79081.21</v>
      </c>
      <c r="M165" s="140" t="n">
        <v>71945.49</v>
      </c>
      <c r="N165" s="190" t="n">
        <v>7135.72</v>
      </c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29719.69</v>
      </c>
      <c r="S165" s="190" t="n">
        <v>2761.5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5797.48</v>
      </c>
      <c r="Q169" s="161" t="n">
        <f aca="false">R169+S169</f>
        <v>5797.48</v>
      </c>
      <c r="R169" s="161" t="n">
        <v>5797.48</v>
      </c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5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26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26</v>
      </c>
      <c r="I175" s="160" t="n">
        <v>21</v>
      </c>
      <c r="J175" s="160" t="n">
        <v>25</v>
      </c>
      <c r="K175" s="161" t="n">
        <v>29092.64</v>
      </c>
      <c r="L175" s="161" t="n">
        <f aca="false">M175+N175</f>
        <v>15676.78</v>
      </c>
      <c r="M175" s="161" t="n">
        <v>15676.78</v>
      </c>
      <c r="N175" s="190"/>
      <c r="O175" s="163" t="n">
        <v>24</v>
      </c>
      <c r="P175" s="161" t="n">
        <v>63326.02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4510.72</v>
      </c>
      <c r="M176" s="166" t="n">
        <f aca="false">1585.8+2924.92</f>
        <v>4510.72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17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7092.05</v>
      </c>
      <c r="R181" s="166" t="n">
        <f aca="false">1762+1278.41+2862.29+1189.35</f>
        <v>7092.05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11276.8+2945.6</f>
        <v>14222.4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2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/>
      <c r="N188" s="190" t="n">
        <v>649.87</v>
      </c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8</v>
      </c>
      <c r="I189" s="200" t="n">
        <v>5</v>
      </c>
      <c r="J189" s="200" t="n">
        <v>5</v>
      </c>
      <c r="K189" s="201" t="n">
        <v>10814.36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8689.1</v>
      </c>
      <c r="R190" s="161" t="n">
        <v>7400.4</v>
      </c>
      <c r="S190" s="190" t="n">
        <v>1288.7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46</v>
      </c>
      <c r="I192" s="148" t="n">
        <v>43</v>
      </c>
      <c r="J192" s="148" t="n">
        <v>62</v>
      </c>
      <c r="K192" s="149" t="n">
        <v>97297.63</v>
      </c>
      <c r="L192" s="149" t="n">
        <f aca="false">M192+N192</f>
        <v>89688.59</v>
      </c>
      <c r="M192" s="149" t="n">
        <v>89688.59</v>
      </c>
      <c r="N192" s="190"/>
      <c r="O192" s="151" t="n">
        <v>38</v>
      </c>
      <c r="P192" s="149" t="n">
        <v>139570.66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13</v>
      </c>
      <c r="I194" s="160" t="n">
        <v>8</v>
      </c>
      <c r="J194" s="160" t="n">
        <v>8</v>
      </c>
      <c r="K194" s="161" t="n">
        <v>6402.76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7</v>
      </c>
      <c r="J195" s="165" t="n">
        <v>7</v>
      </c>
      <c r="K195" s="166" t="n">
        <v>12518.8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29</v>
      </c>
      <c r="I196" s="148" t="n">
        <v>15</v>
      </c>
      <c r="J196" s="148" t="n">
        <v>16</v>
      </c>
      <c r="K196" s="149" t="n">
        <v>27701.57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60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63791.94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16</v>
      </c>
      <c r="I199" s="154" t="n">
        <v>12</v>
      </c>
      <c r="J199" s="154" t="n">
        <v>12</v>
      </c>
      <c r="K199" s="155" t="n">
        <v>13923.11</v>
      </c>
      <c r="L199" s="155" t="n">
        <v>13923.11</v>
      </c>
      <c r="M199" s="155" t="n">
        <v>13923.11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29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17</v>
      </c>
      <c r="J201" s="165" t="n">
        <v>17</v>
      </c>
      <c r="K201" s="166" t="n">
        <v>40563.98</v>
      </c>
      <c r="L201" s="166" t="n">
        <v>40563.98</v>
      </c>
      <c r="M201" s="166" t="n">
        <v>40563.98</v>
      </c>
      <c r="N201" s="156"/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33</v>
      </c>
      <c r="I202" s="148" t="n">
        <v>27</v>
      </c>
      <c r="J202" s="148" t="n">
        <v>34</v>
      </c>
      <c r="K202" s="149" t="n">
        <v>37552.49</v>
      </c>
      <c r="L202" s="149" t="n">
        <f aca="false">M202+N202</f>
        <v>23180.8</v>
      </c>
      <c r="M202" s="149" t="n">
        <v>23180.8</v>
      </c>
      <c r="N202" s="190"/>
      <c r="O202" s="151" t="n">
        <v>27</v>
      </c>
      <c r="P202" s="149" t="n">
        <v>83185.53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621.99</v>
      </c>
      <c r="M204" s="149"/>
      <c r="N204" s="190" t="n">
        <v>621.99</v>
      </c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18</v>
      </c>
      <c r="J208" s="160" t="n">
        <v>20</v>
      </c>
      <c r="K208" s="161" t="n">
        <v>20734.87</v>
      </c>
      <c r="L208" s="161" t="n">
        <f aca="false">M208+N208</f>
        <v>13026.32</v>
      </c>
      <c r="M208" s="161" t="n">
        <v>13026.32</v>
      </c>
      <c r="N208" s="190"/>
      <c r="O208" s="163" t="n">
        <v>8</v>
      </c>
      <c r="P208" s="161" t="n">
        <v>80408.94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8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12</v>
      </c>
      <c r="J210" s="148" t="n">
        <v>22</v>
      </c>
      <c r="K210" s="149" t="n">
        <v>65779.83</v>
      </c>
      <c r="L210" s="149" t="n">
        <f aca="false">M210+N210</f>
        <v>55173.64</v>
      </c>
      <c r="M210" s="149" t="n">
        <v>55173.64</v>
      </c>
      <c r="N210" s="190"/>
      <c r="O210" s="151" t="n">
        <v>19</v>
      </c>
      <c r="P210" s="149" t="n">
        <v>176100.35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24</v>
      </c>
      <c r="I212" s="160" t="n">
        <v>18</v>
      </c>
      <c r="J212" s="160" t="n">
        <v>32</v>
      </c>
      <c r="K212" s="161" t="n">
        <v>70478.8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20592.86</v>
      </c>
      <c r="N214" s="190"/>
      <c r="O214" s="151" t="n">
        <v>3</v>
      </c>
      <c r="P214" s="149" t="n">
        <v>5504.35</v>
      </c>
      <c r="Q214" s="149" t="n">
        <f aca="false">R214+S214</f>
        <v>5504.35</v>
      </c>
      <c r="R214" s="149" t="n">
        <v>5504.35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6</v>
      </c>
      <c r="I215" s="165" t="n">
        <v>2</v>
      </c>
      <c r="J215" s="165" t="n">
        <v>2</v>
      </c>
      <c r="K215" s="166" t="n">
        <v>3618.8</v>
      </c>
      <c r="L215" s="166" t="n">
        <f aca="false">M215+N215</f>
        <v>3250.6</v>
      </c>
      <c r="M215" s="166" t="n">
        <f aca="false">1409.6+1841</f>
        <v>3250.6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10</v>
      </c>
      <c r="P217" s="166" t="n">
        <v>41813.62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27</v>
      </c>
      <c r="I218" s="148" t="n">
        <v>14</v>
      </c>
      <c r="J218" s="148" t="n">
        <v>16</v>
      </c>
      <c r="K218" s="149" t="n">
        <v>29499.53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14</v>
      </c>
      <c r="P218" s="149" t="n">
        <v>51085.65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6</v>
      </c>
      <c r="K219" s="155" t="n">
        <v>13233.97</v>
      </c>
      <c r="L219" s="155" t="n">
        <f aca="false">M219+N219</f>
        <v>3347.8</v>
      </c>
      <c r="M219" s="155" t="n">
        <f aca="false">3347.8</f>
        <v>3347.8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28</v>
      </c>
      <c r="I220" s="160" t="n">
        <v>17</v>
      </c>
      <c r="J220" s="160" t="n">
        <v>26</v>
      </c>
      <c r="K220" s="161" t="n">
        <v>50762.46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5593.75</v>
      </c>
      <c r="L221" s="166" t="n">
        <v>5593.75</v>
      </c>
      <c r="M221" s="166" t="n">
        <v>5593.75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12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6995.8+1288.7+5707.1+2945.6</f>
        <v>16937.2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2</v>
      </c>
      <c r="I224" s="148"/>
      <c r="J224" s="148"/>
      <c r="K224" s="149"/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7</v>
      </c>
      <c r="I227" s="154" t="n">
        <v>3</v>
      </c>
      <c r="J227" s="154" t="n">
        <v>3</v>
      </c>
      <c r="K227" s="155" t="n">
        <v>4858.32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28</v>
      </c>
      <c r="I228" s="160" t="n">
        <v>22</v>
      </c>
      <c r="J228" s="160" t="n">
        <v>33</v>
      </c>
      <c r="K228" s="161" t="n">
        <v>49999.33</v>
      </c>
      <c r="L228" s="161" t="n">
        <f aca="false">M228+N228</f>
        <v>45981.11</v>
      </c>
      <c r="M228" s="161" t="n">
        <v>45981.11</v>
      </c>
      <c r="N228" s="190"/>
      <c r="O228" s="163" t="n">
        <v>12</v>
      </c>
      <c r="P228" s="161" t="n">
        <v>72912.46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 t="n">
        <f aca="false">552.3</f>
        <v>552.3</v>
      </c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8</v>
      </c>
      <c r="I230" s="148" t="n">
        <v>6</v>
      </c>
      <c r="J230" s="148" t="n">
        <v>6</v>
      </c>
      <c r="K230" s="149" t="n">
        <v>7525.03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6</v>
      </c>
      <c r="P232" s="161" t="n">
        <v>10969.43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5</v>
      </c>
      <c r="J233" s="165" t="n">
        <v>5</v>
      </c>
      <c r="K233" s="166" t="n">
        <v>10225.1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3171.6+2117.15+552.3</f>
        <v>5841.05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4</v>
      </c>
      <c r="J237" s="165" t="n">
        <v>4</v>
      </c>
      <c r="K237" s="166" t="n">
        <v>9664.55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9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18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2</v>
      </c>
      <c r="P242" s="149" t="n">
        <v>15606.38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7648.67</v>
      </c>
      <c r="N244" s="224" t="n">
        <v>5365.21</v>
      </c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3</v>
      </c>
      <c r="J245" s="154" t="n">
        <v>3</v>
      </c>
      <c r="K245" s="155" t="n">
        <v>4166.84</v>
      </c>
      <c r="L245" s="155" t="n">
        <v>4166.84</v>
      </c>
      <c r="M245" s="155" t="n">
        <v>4166.84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5</v>
      </c>
      <c r="P246" s="161" t="n">
        <v>18277.74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528.6+3700.2+1288.7+3497.9+2393.3+1288.7</f>
        <v>12697.4</v>
      </c>
      <c r="N247" s="167"/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2643</v>
      </c>
      <c r="I252" s="214" t="n">
        <f aca="false">SUM(I9:I251)</f>
        <v>1693</v>
      </c>
      <c r="J252" s="214" t="n">
        <f aca="false">SUM(J9:J251)</f>
        <v>2061</v>
      </c>
      <c r="K252" s="215" t="n">
        <f aca="false">SUM(K9:K251)</f>
        <v>3726104.76</v>
      </c>
      <c r="L252" s="215" t="n">
        <f aca="false">SUM(L9:L251)</f>
        <v>2846129.27</v>
      </c>
      <c r="M252" s="215" t="n">
        <f aca="false">SUM(M9:M251)</f>
        <v>2704974.95</v>
      </c>
      <c r="N252" s="243" t="n">
        <f aca="false">SUM(N9:N251)</f>
        <v>146228.15</v>
      </c>
      <c r="O252" s="244" t="n">
        <f aca="false">SUM(O9:O251)</f>
        <v>1232</v>
      </c>
      <c r="P252" s="245" t="n">
        <f aca="false">SUM(P9:P251)</f>
        <v>4620593.72</v>
      </c>
      <c r="Q252" s="245" t="n">
        <f aca="false">SUM(Q9:Q251)</f>
        <v>4240206.34</v>
      </c>
      <c r="R252" s="245" t="n">
        <f aca="false">SUM(R9:R251)</f>
        <v>4127458.02</v>
      </c>
      <c r="S252" s="246" t="n">
        <f aca="false">SUM(S9:S251)</f>
        <v>123426.12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1812</v>
      </c>
      <c r="H258" s="108" t="n">
        <f aca="false">SUMIF($G$9:$G$251,$F$258,I9:I251)</f>
        <v>1280</v>
      </c>
      <c r="I258" s="108" t="n">
        <f aca="false">SUMIF($G$9:$G$251,$F$258,J9:J251)</f>
        <v>1640</v>
      </c>
      <c r="J258" s="110" t="n">
        <f aca="false">SUMIF($G$9:$G$251,F258,$K$9:$K$251)</f>
        <v>3003293.89</v>
      </c>
      <c r="K258" s="110" t="n">
        <f aca="false">SUMIF($G$9:$G$251,$F$258,L9:L251)</f>
        <v>2239253.44</v>
      </c>
      <c r="L258" s="110" t="n">
        <f aca="false">SUMIF($G$9:$G$251,$F$258,M9:M251)</f>
        <v>2098104.62</v>
      </c>
      <c r="M258" s="110" t="n">
        <f aca="false">SUMIF($G$9:$G$251,$F$258,N9:N251)</f>
        <v>146228.15</v>
      </c>
      <c r="N258" s="108" t="n">
        <f aca="false">SUMIF($G$9:$G$251,$F$258,O9:O251)</f>
        <v>823</v>
      </c>
      <c r="O258" s="110" t="n">
        <f aca="false">SUMIF($G$9:$G$251,F258,$P$9:$P$251)</f>
        <v>3508570.24</v>
      </c>
      <c r="P258" s="110" t="n">
        <f aca="false">SUMIF($G$9:$G$251,$F$258,Q9:Q251)</f>
        <v>3153676.82</v>
      </c>
      <c r="Q258" s="110" t="n">
        <f aca="false">SUMIF($G$9:$G$251,$F$258,R9:R251)</f>
        <v>3030250.7</v>
      </c>
      <c r="R258" s="110" t="n">
        <f aca="false">SUMIF($G$9:$G$251,$F$258,S9:S251)</f>
        <v>123426.12</v>
      </c>
      <c r="S258" s="110" t="n">
        <f aca="false">Q258+L258</f>
        <v>5128355.32</v>
      </c>
      <c r="T258" s="111" t="n">
        <f aca="false">J258-L258+O258-Q258</f>
        <v>1383508.81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548</v>
      </c>
      <c r="H259" s="108" t="n">
        <f aca="false">SUMIF($G$9:$G$251,$F$259,I9:I251)</f>
        <v>238</v>
      </c>
      <c r="I259" s="108" t="n">
        <f aca="false">SUMIF($G$9:$G$251,$F$259,J9:J251)</f>
        <v>246</v>
      </c>
      <c r="J259" s="110" t="n">
        <f aca="false">SUMIF($G$9:$G$251,F259,$K$9:$K$251)</f>
        <v>491205.78</v>
      </c>
      <c r="K259" s="110" t="n">
        <f aca="false">SUMIF($G$9:$G$251,$F$259,L9:L251)</f>
        <v>375270.74</v>
      </c>
      <c r="L259" s="110" t="n">
        <f aca="false">SUMIF($G$9:$G$251,$F$259,M9:M251)</f>
        <v>375265.24</v>
      </c>
      <c r="M259" s="110" t="n">
        <f aca="false">SUMIF($G$9:$G$251,$F$259,N9:N251)</f>
        <v>0</v>
      </c>
      <c r="N259" s="108" t="n">
        <f aca="false">SUMIF($G$9:$G$251,$F$259,O9:O251)</f>
        <v>298</v>
      </c>
      <c r="O259" s="110" t="n">
        <f aca="false">SUMIF($G$9:$G$251,F259,$P$9:$P$251)</f>
        <v>868589.28</v>
      </c>
      <c r="P259" s="110" t="n">
        <f aca="false">SUMIF($G$9:$G$251,$F$259,Q9:Q251)</f>
        <v>843095.32</v>
      </c>
      <c r="Q259" s="110" t="n">
        <f aca="false">SUMIF($G$9:$G$251,$F$259,R9:R251)</f>
        <v>853773.12</v>
      </c>
      <c r="R259" s="110" t="n">
        <f aca="false">SUMIF($G$9:$G$251,$F$259,S9:S251)</f>
        <v>0</v>
      </c>
      <c r="S259" s="110" t="n">
        <f aca="false">Q259+L259</f>
        <v>1229038.36</v>
      </c>
      <c r="T259" s="111" t="n">
        <f aca="false">J259-L259+O259-Q259</f>
        <v>130756.7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283</v>
      </c>
      <c r="H260" s="108" t="n">
        <f aca="false">SUMIF($G$9:$G$251,$F$260,I9:I251)</f>
        <v>175</v>
      </c>
      <c r="I260" s="108" t="n">
        <f aca="false">SUMIF($G$9:$G$251,$F$260,J9:J251)</f>
        <v>175</v>
      </c>
      <c r="J260" s="110" t="n">
        <f aca="false">SUMIF($G$9:$G$251,F260,$K$9:$K$251)</f>
        <v>231605.09</v>
      </c>
      <c r="K260" s="110" t="n">
        <f aca="false">SUMIF($G$9:$G$251,$F$260,L9:L251)</f>
        <v>231605.09</v>
      </c>
      <c r="L260" s="110" t="n">
        <f aca="false">SUMIF($G$9:$G$251,$F$260,M9:M251)</f>
        <v>231605.09</v>
      </c>
      <c r="M260" s="110" t="n">
        <f aca="false">SUMIF($G$9:$G$251,$F$260,N9:N251)</f>
        <v>0</v>
      </c>
      <c r="N260" s="108" t="n">
        <f aca="false">SUMIF($G$9:$G$251,$F$260,O9:O251)</f>
        <v>111</v>
      </c>
      <c r="O260" s="110" t="n">
        <f aca="false">SUMIF($G$9:$G$251,F260,$P$9:$P$251)</f>
        <v>243434.2</v>
      </c>
      <c r="P260" s="110" t="n">
        <f aca="false">SUMIF($G$9:$G$251,$F$260,Q9:Q251)</f>
        <v>243434.2</v>
      </c>
      <c r="Q260" s="110" t="n">
        <f aca="false">SUMIF($G$9:$G$251,$F$260,R9:R251)</f>
        <v>243434.2</v>
      </c>
      <c r="R260" s="110" t="n">
        <f aca="false">SUMIF($G$9:$G$251,$F$260,S9:S251)</f>
        <v>0</v>
      </c>
      <c r="S260" s="110" t="n">
        <f aca="false">Q260+L260</f>
        <v>475039.29</v>
      </c>
      <c r="T260" s="111" t="n">
        <f aca="false">J260-L260+O260-Q260</f>
        <v>0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2643</v>
      </c>
      <c r="H261" s="216" t="n">
        <f aca="false">H260+H259+H258</f>
        <v>1693</v>
      </c>
      <c r="I261" s="216" t="n">
        <f aca="false">I260+I259+I258</f>
        <v>2061</v>
      </c>
      <c r="J261" s="217" t="n">
        <f aca="false">J260+J259+J258</f>
        <v>3726104.76</v>
      </c>
      <c r="K261" s="217" t="n">
        <f aca="false">K260+K259+K258</f>
        <v>2846129.27</v>
      </c>
      <c r="L261" s="217" t="n">
        <f aca="false">L260+L259+L258</f>
        <v>2704974.95</v>
      </c>
      <c r="M261" s="217" t="n">
        <f aca="false">M260+M259+M258</f>
        <v>146228.15</v>
      </c>
      <c r="N261" s="216" t="n">
        <f aca="false">N260+N259+N258</f>
        <v>1232</v>
      </c>
      <c r="O261" s="217" t="n">
        <f aca="false">O260+O259+O258</f>
        <v>4620593.72</v>
      </c>
      <c r="P261" s="217" t="n">
        <f aca="false">P260+P259+P258</f>
        <v>4240206.34</v>
      </c>
      <c r="Q261" s="217" t="n">
        <f aca="false">Q260+Q259+Q258</f>
        <v>4127458.02</v>
      </c>
      <c r="R261" s="217" t="n">
        <f aca="false">R260+R259+R258</f>
        <v>123426.12</v>
      </c>
      <c r="S261" s="217" t="n">
        <f aca="false">S260+S259+S258</f>
        <v>6832432.97</v>
      </c>
      <c r="T261" s="217" t="n">
        <f aca="false">T260+T259+T258</f>
        <v>1514265.51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1774</v>
      </c>
      <c r="H322" s="247" t="n">
        <v>1257</v>
      </c>
      <c r="I322" s="247" t="n">
        <v>1612</v>
      </c>
      <c r="J322" s="0" t="n">
        <v>2940047.48</v>
      </c>
      <c r="K322" s="236"/>
      <c r="N322" s="0" t="n">
        <v>817</v>
      </c>
      <c r="O322" s="0" t="n">
        <v>3473352.57</v>
      </c>
    </row>
    <row r="323" customFormat="false" ht="15" hidden="false" customHeight="false" outlineLevel="0" collapsed="false">
      <c r="G323" s="221" t="n">
        <f aca="false">G258-G322</f>
        <v>38</v>
      </c>
      <c r="H323" s="221" t="n">
        <f aca="false">H258-H322</f>
        <v>23</v>
      </c>
      <c r="I323" s="221" t="n">
        <f aca="false">I258-I322</f>
        <v>28</v>
      </c>
      <c r="J323" s="229" t="n">
        <f aca="false">J258-J322</f>
        <v>63246.4099999997</v>
      </c>
      <c r="K323" s="236"/>
      <c r="N323" s="221" t="n">
        <f aca="false">N258-N322</f>
        <v>6</v>
      </c>
      <c r="O323" s="229" t="n">
        <f aca="false">O258-O322</f>
        <v>35217.6699999999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/>
      <c r="J9" s="148"/>
      <c r="K9" s="149"/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 t="n">
        <v>2</v>
      </c>
      <c r="J10" s="154" t="n">
        <v>2</v>
      </c>
      <c r="K10" s="155" t="n">
        <v>2209.2</v>
      </c>
      <c r="L10" s="155" t="n">
        <v>2209.2</v>
      </c>
      <c r="M10" s="155" t="n">
        <v>2209.2</v>
      </c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29</v>
      </c>
      <c r="I11" s="160" t="n">
        <v>21</v>
      </c>
      <c r="J11" s="160" t="n">
        <v>36</v>
      </c>
      <c r="K11" s="161" t="n">
        <v>79121.66</v>
      </c>
      <c r="L11" s="161" t="n">
        <v>71801.93</v>
      </c>
      <c r="M11" s="161" t="n">
        <v>71801.93</v>
      </c>
      <c r="N11" s="239" t="n">
        <v>5079.33</v>
      </c>
      <c r="O11" s="151" t="n">
        <v>11</v>
      </c>
      <c r="P11" s="149" t="n">
        <v>44687.32</v>
      </c>
      <c r="Q11" s="149" t="n">
        <f aca="false">R11+S11</f>
        <v>44135.02</v>
      </c>
      <c r="R11" s="149" t="n">
        <v>39893.36</v>
      </c>
      <c r="S11" s="150" t="n">
        <v>4241.66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2945.6</v>
      </c>
      <c r="M12" s="166" t="n">
        <f aca="false">1841+1104.6</f>
        <v>2945.6</v>
      </c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38</v>
      </c>
      <c r="I13" s="148" t="n">
        <v>31</v>
      </c>
      <c r="J13" s="148" t="n">
        <v>47</v>
      </c>
      <c r="K13" s="149" t="n">
        <v>76104.05</v>
      </c>
      <c r="L13" s="149" t="n">
        <f aca="false">M13+N13</f>
        <v>75001.38</v>
      </c>
      <c r="M13" s="149" t="n">
        <v>75001.38</v>
      </c>
      <c r="N13" s="249"/>
      <c r="O13" s="228" t="n">
        <v>8</v>
      </c>
      <c r="P13" s="161" t="n">
        <v>31855.11</v>
      </c>
      <c r="Q13" s="161" t="n">
        <f aca="false">R13+S13</f>
        <v>31855.11</v>
      </c>
      <c r="R13" s="161" t="n">
        <v>31855.11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17466.75</v>
      </c>
      <c r="M14" s="155" t="n">
        <f aca="false">1938.2+5638.4+4017.36+1822.59+4050.2</f>
        <v>17466.75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4</v>
      </c>
      <c r="J16" s="165" t="n">
        <v>4</v>
      </c>
      <c r="K16" s="166" t="n">
        <v>9191.6</v>
      </c>
      <c r="L16" s="166" t="n">
        <f aca="false">M16+N16</f>
        <v>7350.6</v>
      </c>
      <c r="M16" s="166" t="n">
        <f aca="false">4405+2945.6</f>
        <v>7350.6</v>
      </c>
      <c r="N16" s="167"/>
      <c r="O16" s="168" t="n">
        <v>5</v>
      </c>
      <c r="P16" s="166" t="n">
        <v>31011.2</v>
      </c>
      <c r="Q16" s="166" t="n">
        <f aca="false">R16+S16</f>
        <v>25827.9</v>
      </c>
      <c r="R16" s="166" t="n">
        <f aca="false">23434.6+2393.3</f>
        <v>25827.9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23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8</v>
      </c>
      <c r="J20" s="154" t="n">
        <v>8</v>
      </c>
      <c r="K20" s="155" t="n">
        <v>6300</v>
      </c>
      <c r="L20" s="155" t="n">
        <f aca="false">M20+N20</f>
        <v>6300</v>
      </c>
      <c r="M20" s="155" t="n">
        <f aca="false">2986.2+1656.9+1104.6+552.3</f>
        <v>6300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25</v>
      </c>
      <c r="I21" s="160" t="n">
        <v>17</v>
      </c>
      <c r="J21" s="160" t="n">
        <v>23</v>
      </c>
      <c r="K21" s="161" t="n">
        <v>30113.95</v>
      </c>
      <c r="L21" s="161" t="n">
        <f aca="false">M21+N21</f>
        <v>21199.65</v>
      </c>
      <c r="M21" s="161" t="n">
        <v>21199.65</v>
      </c>
      <c r="N21" s="190"/>
      <c r="O21" s="163" t="n">
        <v>20</v>
      </c>
      <c r="P21" s="161" t="n">
        <v>51655.43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4</v>
      </c>
      <c r="P22" s="155" t="n">
        <v>4604.9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33</v>
      </c>
      <c r="I23" s="160" t="n">
        <v>25</v>
      </c>
      <c r="J23" s="160" t="n">
        <v>41</v>
      </c>
      <c r="K23" s="161" t="n">
        <v>59451.25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30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28</v>
      </c>
      <c r="I27" s="160" t="n">
        <v>27</v>
      </c>
      <c r="J27" s="160" t="n">
        <v>43</v>
      </c>
      <c r="K27" s="161" t="n">
        <v>91809.04</v>
      </c>
      <c r="L27" s="161" t="n">
        <f aca="false">M27+N27</f>
        <v>77966.2</v>
      </c>
      <c r="M27" s="161" t="n">
        <v>68607.98</v>
      </c>
      <c r="N27" s="190" t="n">
        <v>9358.22</v>
      </c>
      <c r="O27" s="151" t="n">
        <v>9</v>
      </c>
      <c r="P27" s="149" t="n">
        <v>30370.2</v>
      </c>
      <c r="Q27" s="149" t="n">
        <f aca="false">R27+S27</f>
        <v>28995.84</v>
      </c>
      <c r="R27" s="149" t="n">
        <v>20128.87</v>
      </c>
      <c r="S27" s="198" t="n">
        <v>8866.97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6</v>
      </c>
      <c r="J28" s="165" t="n">
        <v>6</v>
      </c>
      <c r="K28" s="166" t="n">
        <v>5888.45</v>
      </c>
      <c r="L28" s="166" t="n">
        <f aca="false">M28+N28</f>
        <v>5888.45</v>
      </c>
      <c r="M28" s="166" t="n">
        <f aca="false">3126.95+2209.2+552.3</f>
        <v>5888.45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37943.5+552.3+276.15</f>
        <v>38771.95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3</v>
      </c>
      <c r="J30" s="165" t="n">
        <v>3</v>
      </c>
      <c r="K30" s="166" t="n">
        <v>6695.6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11</v>
      </c>
      <c r="P30" s="166" t="n">
        <v>72242.1</v>
      </c>
      <c r="Q30" s="166" t="n">
        <f aca="false">R30+S30</f>
        <v>46595.9</v>
      </c>
      <c r="R30" s="166" t="n">
        <f aca="false">44754.9+1841</f>
        <v>46595.9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12</v>
      </c>
      <c r="I33" s="160" t="n">
        <v>5</v>
      </c>
      <c r="J33" s="160" t="n">
        <v>6</v>
      </c>
      <c r="K33" s="161" t="n">
        <v>13109.76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4</v>
      </c>
      <c r="J34" s="165" t="n">
        <v>4</v>
      </c>
      <c r="K34" s="166" t="n">
        <v>9718.14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2</v>
      </c>
      <c r="J35" s="148" t="n">
        <v>2</v>
      </c>
      <c r="K35" s="149" t="n">
        <v>2549.79</v>
      </c>
      <c r="L35" s="149" t="n">
        <f aca="false">M35+N35</f>
        <v>2549.79</v>
      </c>
      <c r="M35" s="149"/>
      <c r="N35" s="150" t="n">
        <v>2549.79</v>
      </c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16</v>
      </c>
      <c r="J37" s="160" t="n">
        <v>17</v>
      </c>
      <c r="K37" s="161" t="n">
        <v>27716.78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26</v>
      </c>
      <c r="I43" s="160" t="n">
        <v>22</v>
      </c>
      <c r="J43" s="160" t="n">
        <v>28</v>
      </c>
      <c r="K43" s="161" t="n">
        <v>52986.66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38763.49</v>
      </c>
      <c r="R46" s="166" t="n">
        <f aca="false">19654.4+16319.08+212.61+2577.4</f>
        <v>38763.49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2</v>
      </c>
      <c r="J47" s="148" t="n">
        <v>2</v>
      </c>
      <c r="K47" s="149" t="n">
        <v>6630.21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7</v>
      </c>
      <c r="J48" s="154" t="n">
        <v>7</v>
      </c>
      <c r="K48" s="155" t="n">
        <v>17101.85</v>
      </c>
      <c r="L48" s="155" t="n">
        <f aca="false">M48+N48</f>
        <v>11721.05</v>
      </c>
      <c r="M48" s="155" t="n">
        <f aca="false">5885.08+1104.6+3313.8+1417.57</f>
        <v>11721.05</v>
      </c>
      <c r="N48" s="156"/>
      <c r="O48" s="157" t="n">
        <v>9</v>
      </c>
      <c r="P48" s="155" t="n">
        <v>18952.33</v>
      </c>
      <c r="Q48" s="155" t="n">
        <f aca="false">R48+S48</f>
        <v>23738.93</v>
      </c>
      <c r="R48" s="155" t="n">
        <f aca="false">16697.1+966.53+1288.7+2945.6+1841</f>
        <v>23738.93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5</v>
      </c>
      <c r="J51" s="160" t="n">
        <v>9</v>
      </c>
      <c r="K51" s="161" t="n">
        <v>12825.23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62</v>
      </c>
      <c r="I53" s="148" t="n">
        <v>56</v>
      </c>
      <c r="J53" s="148" t="n">
        <v>59</v>
      </c>
      <c r="K53" s="149" t="n">
        <v>87003.69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42</v>
      </c>
      <c r="I55" s="160" t="n">
        <v>29</v>
      </c>
      <c r="J55" s="160" t="n">
        <v>42</v>
      </c>
      <c r="K55" s="161" t="n">
        <v>74435.85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13</v>
      </c>
      <c r="I57" s="160" t="n">
        <v>8</v>
      </c>
      <c r="J57" s="160" t="n">
        <v>10</v>
      </c>
      <c r="K57" s="161" t="n">
        <v>28018.86</v>
      </c>
      <c r="L57" s="161" t="n">
        <f aca="false">M57+N57</f>
        <v>7518.67</v>
      </c>
      <c r="M57" s="161" t="n">
        <v>2654.28</v>
      </c>
      <c r="N57" s="190" t="n">
        <v>4864.39</v>
      </c>
      <c r="O57" s="163" t="n">
        <v>4</v>
      </c>
      <c r="P57" s="161" t="n">
        <v>20218.72</v>
      </c>
      <c r="Q57" s="161" t="n">
        <f aca="false">R57+S57</f>
        <v>20218.72</v>
      </c>
      <c r="R57" s="161" t="n">
        <v>18745.92</v>
      </c>
      <c r="S57" s="190" t="n">
        <v>1472.8</v>
      </c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7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10</v>
      </c>
      <c r="P58" s="166" t="n">
        <v>33429.49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10</v>
      </c>
      <c r="I59" s="148" t="n">
        <v>7</v>
      </c>
      <c r="J59" s="148" t="n">
        <v>10</v>
      </c>
      <c r="K59" s="149" t="n">
        <v>27453.29</v>
      </c>
      <c r="L59" s="149" t="n">
        <f aca="false">M59+N59</f>
        <v>22291.35</v>
      </c>
      <c r="M59" s="149" t="n">
        <v>22291.35</v>
      </c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14</v>
      </c>
      <c r="I61" s="160"/>
      <c r="J61" s="160"/>
      <c r="K61" s="161"/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8468.6</v>
      </c>
      <c r="M62" s="166" t="n">
        <f aca="false">5523+1104.6+1288.7+552.3</f>
        <v>8468.6</v>
      </c>
      <c r="N62" s="156"/>
      <c r="O62" s="168" t="n">
        <v>10</v>
      </c>
      <c r="P62" s="166" t="n">
        <v>4249</v>
      </c>
      <c r="Q62" s="166" t="n">
        <f aca="false">R62+S62</f>
        <v>15663.2</v>
      </c>
      <c r="R62" s="166" t="n">
        <f aca="false">4249+11414.2</f>
        <v>15663.2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11</v>
      </c>
      <c r="I63" s="148" t="n">
        <v>6</v>
      </c>
      <c r="J63" s="148" t="n">
        <v>6</v>
      </c>
      <c r="K63" s="149" t="n">
        <v>3278.24</v>
      </c>
      <c r="L63" s="149" t="n">
        <f aca="false">M63+N63</f>
        <v>2154.14</v>
      </c>
      <c r="M63" s="149" t="n">
        <v>881</v>
      </c>
      <c r="N63" s="190" t="n">
        <v>1273.14</v>
      </c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9</v>
      </c>
      <c r="I64" s="154" t="n">
        <v>5</v>
      </c>
      <c r="J64" s="154" t="n">
        <v>5</v>
      </c>
      <c r="K64" s="155" t="n">
        <v>7403.15</v>
      </c>
      <c r="L64" s="155" t="n">
        <f aca="false">M64+N64</f>
        <v>7403.15</v>
      </c>
      <c r="M64" s="155" t="n">
        <f aca="false">5286+1564.85+552.3</f>
        <v>7403.15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10</v>
      </c>
      <c r="J67" s="148" t="n">
        <v>14</v>
      </c>
      <c r="K67" s="149" t="n">
        <v>29586.56</v>
      </c>
      <c r="L67" s="149" t="n">
        <f aca="false">M67+N67</f>
        <v>22953.9</v>
      </c>
      <c r="M67" s="149" t="n">
        <v>3717.82</v>
      </c>
      <c r="N67" s="190" t="n">
        <v>19236.08</v>
      </c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11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16</v>
      </c>
      <c r="I69" s="160" t="n">
        <v>12</v>
      </c>
      <c r="J69" s="160" t="n">
        <v>18</v>
      </c>
      <c r="K69" s="161" t="n">
        <v>30473.91</v>
      </c>
      <c r="L69" s="161" t="n">
        <f aca="false">M69+N69</f>
        <v>24253.38</v>
      </c>
      <c r="M69" s="161" t="n">
        <v>21739.72</v>
      </c>
      <c r="N69" s="190" t="n">
        <v>2513.66</v>
      </c>
      <c r="O69" s="163" t="n">
        <v>12</v>
      </c>
      <c r="P69" s="161" t="n">
        <v>66383.26</v>
      </c>
      <c r="Q69" s="161" t="n">
        <f aca="false">R69+S69</f>
        <v>64116.78</v>
      </c>
      <c r="R69" s="161" t="n">
        <v>62059.28</v>
      </c>
      <c r="S69" s="190" t="n">
        <v>2057.5</v>
      </c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34</v>
      </c>
      <c r="I71" s="148" t="n">
        <v>26</v>
      </c>
      <c r="J71" s="148" t="n">
        <v>36</v>
      </c>
      <c r="K71" s="149" t="n">
        <v>75290.63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41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 t="n">
        <v>2</v>
      </c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7</v>
      </c>
      <c r="I76" s="154" t="n">
        <v>2</v>
      </c>
      <c r="J76" s="154" t="n">
        <v>2</v>
      </c>
      <c r="K76" s="155" t="n">
        <v>5707.1</v>
      </c>
      <c r="L76" s="155" t="n">
        <f aca="false">M76+N76</f>
        <v>5707.1</v>
      </c>
      <c r="M76" s="155" t="n">
        <f aca="false">2577.4+3129.7</f>
        <v>5707.1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4</v>
      </c>
      <c r="J79" s="148" t="n">
        <v>4</v>
      </c>
      <c r="K79" s="149" t="n">
        <v>3417.03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21</v>
      </c>
      <c r="I81" s="148" t="n">
        <v>11</v>
      </c>
      <c r="J81" s="148" t="n">
        <v>11</v>
      </c>
      <c r="K81" s="149" t="n">
        <v>45671.29</v>
      </c>
      <c r="L81" s="149" t="n">
        <f aca="false">M81+N81</f>
        <v>32053.43</v>
      </c>
      <c r="M81" s="149" t="n">
        <v>24732.4</v>
      </c>
      <c r="N81" s="190" t="n">
        <v>7321.03</v>
      </c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6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4</v>
      </c>
      <c r="P83" s="161" t="n">
        <v>52137.03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6037</v>
      </c>
      <c r="R84" s="166" t="n">
        <f aca="false">2907.3+1841+1288.7</f>
        <v>6037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4</v>
      </c>
      <c r="J85" s="148" t="n">
        <v>5</v>
      </c>
      <c r="K85" s="149" t="n">
        <v>6604.02</v>
      </c>
      <c r="L85" s="149" t="n">
        <f aca="false">M85+N85</f>
        <v>5720.34</v>
      </c>
      <c r="M85" s="149" t="n">
        <v>5720.34</v>
      </c>
      <c r="N85" s="190"/>
      <c r="O85" s="151" t="n">
        <v>11</v>
      </c>
      <c r="P85" s="149" t="n">
        <v>33167.87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1841+1656.9</f>
        <v>3497.9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18</v>
      </c>
      <c r="I89" s="148" t="n">
        <v>7</v>
      </c>
      <c r="J89" s="148" t="n">
        <v>9</v>
      </c>
      <c r="K89" s="149" t="n">
        <v>13028.25</v>
      </c>
      <c r="L89" s="149" t="n">
        <f aca="false">M89+N89</f>
        <v>8723.07</v>
      </c>
      <c r="M89" s="149" t="n">
        <v>8723.07</v>
      </c>
      <c r="N89" s="190"/>
      <c r="O89" s="151" t="n">
        <v>14</v>
      </c>
      <c r="P89" s="149" t="n">
        <v>52948.85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40</v>
      </c>
      <c r="I90" s="165" t="n">
        <v>40</v>
      </c>
      <c r="J90" s="165" t="n">
        <v>40</v>
      </c>
      <c r="K90" s="166" t="n">
        <v>46304.7</v>
      </c>
      <c r="L90" s="166" t="n">
        <v>46304.7</v>
      </c>
      <c r="M90" s="166" t="n">
        <v>46304.7</v>
      </c>
      <c r="N90" s="156"/>
      <c r="O90" s="168" t="n">
        <v>41</v>
      </c>
      <c r="P90" s="166" t="n">
        <v>93370.07</v>
      </c>
      <c r="Q90" s="166" t="n">
        <v>93370.07</v>
      </c>
      <c r="R90" s="166" t="n">
        <v>93370.07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11</v>
      </c>
      <c r="I91" s="148" t="n">
        <v>8</v>
      </c>
      <c r="J91" s="148" t="n">
        <v>10</v>
      </c>
      <c r="K91" s="149" t="n">
        <v>14299.39</v>
      </c>
      <c r="L91" s="149" t="n">
        <f aca="false">M91+N91</f>
        <v>10742.58</v>
      </c>
      <c r="M91" s="149" t="n">
        <v>7056.9</v>
      </c>
      <c r="N91" s="190" t="n">
        <v>3685.68</v>
      </c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9</v>
      </c>
      <c r="J93" s="148" t="n">
        <v>13</v>
      </c>
      <c r="K93" s="149" t="n">
        <v>31245.45</v>
      </c>
      <c r="L93" s="149" t="n">
        <f aca="false">M93+N93</f>
        <v>28957.76</v>
      </c>
      <c r="M93" s="149" t="n">
        <v>17007.72</v>
      </c>
      <c r="N93" s="190" t="n">
        <v>11950.04</v>
      </c>
      <c r="O93" s="151" t="n">
        <v>17</v>
      </c>
      <c r="P93" s="149" t="n">
        <v>56917.37</v>
      </c>
      <c r="Q93" s="149" t="n">
        <f aca="false">R93+S93</f>
        <v>56917.37</v>
      </c>
      <c r="R93" s="149" t="n">
        <v>48957.86</v>
      </c>
      <c r="S93" s="190" t="n">
        <v>7959.51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8812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9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13</v>
      </c>
      <c r="I97" s="160" t="n">
        <v>11</v>
      </c>
      <c r="J97" s="160" t="n">
        <v>16</v>
      </c>
      <c r="K97" s="161" t="n">
        <v>26173.65</v>
      </c>
      <c r="L97" s="161" t="n">
        <f aca="false">M97+N97</f>
        <v>22159.57</v>
      </c>
      <c r="M97" s="161" t="n">
        <v>11231.55</v>
      </c>
      <c r="N97" s="190" t="n">
        <v>10928.02</v>
      </c>
      <c r="O97" s="163" t="n">
        <v>9</v>
      </c>
      <c r="P97" s="161" t="n">
        <v>62858.94</v>
      </c>
      <c r="Q97" s="161" t="n">
        <f aca="false">R97+S97</f>
        <v>62858.94</v>
      </c>
      <c r="R97" s="161" t="n">
        <v>51100.74</v>
      </c>
      <c r="S97" s="190" t="n">
        <v>11758.2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4</v>
      </c>
      <c r="J100" s="154" t="n">
        <v>4</v>
      </c>
      <c r="K100" s="155" t="n">
        <v>14343.3</v>
      </c>
      <c r="L100" s="155" t="n">
        <f aca="false">M100+N100</f>
        <v>12581.3</v>
      </c>
      <c r="M100" s="155" t="n">
        <f aca="false">10924.4+1656.9</f>
        <v>12581.3</v>
      </c>
      <c r="N100" s="156"/>
      <c r="O100" s="157" t="n">
        <v>3</v>
      </c>
      <c r="P100" s="155" t="s">
        <v>303</v>
      </c>
      <c r="Q100" s="155" t="n">
        <f aca="false">R100+S100</f>
        <v>9494.2</v>
      </c>
      <c r="R100" s="155" t="n">
        <f aca="false">1762+7732.2</f>
        <v>9494.2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39</v>
      </c>
      <c r="I101" s="160" t="n">
        <v>28</v>
      </c>
      <c r="J101" s="160" t="n">
        <v>32</v>
      </c>
      <c r="K101" s="161" t="n">
        <v>62669.77</v>
      </c>
      <c r="L101" s="161" t="n">
        <f aca="false">M101+N101</f>
        <v>50881.45</v>
      </c>
      <c r="M101" s="161" t="n">
        <v>50881.45</v>
      </c>
      <c r="N101" s="190"/>
      <c r="O101" s="163" t="n">
        <v>27</v>
      </c>
      <c r="P101" s="161" t="n">
        <v>154971.25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30217.9</v>
      </c>
      <c r="R102" s="166" t="n">
        <f aca="false">21936.9+1233.4+5758.9+1288.7</f>
        <v>30217.9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26</v>
      </c>
      <c r="I103" s="148" t="n">
        <v>18</v>
      </c>
      <c r="J103" s="148" t="n">
        <v>18</v>
      </c>
      <c r="K103" s="149" t="n">
        <v>14524.2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3</v>
      </c>
      <c r="P103" s="149" t="n">
        <v>18333.88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18571.85</v>
      </c>
      <c r="R104" s="165" t="n">
        <f aca="false">9735.05+8836.8</f>
        <v>18571.85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14</v>
      </c>
      <c r="I105" s="148" t="n">
        <v>12</v>
      </c>
      <c r="J105" s="148" t="n">
        <v>14</v>
      </c>
      <c r="K105" s="149" t="n">
        <v>11422.99</v>
      </c>
      <c r="L105" s="149" t="n">
        <f aca="false">M105+N105</f>
        <v>11054.79</v>
      </c>
      <c r="M105" s="149" t="n">
        <v>11054.79</v>
      </c>
      <c r="N105" s="190"/>
      <c r="O105" s="151" t="n">
        <v>11</v>
      </c>
      <c r="P105" s="149" t="n">
        <v>56733.17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10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11</v>
      </c>
      <c r="I108" s="160" t="n">
        <v>8</v>
      </c>
      <c r="J108" s="160" t="n">
        <v>10</v>
      </c>
      <c r="K108" s="161" t="n">
        <v>19070.63</v>
      </c>
      <c r="L108" s="161" t="n">
        <f aca="false">M108+N108</f>
        <v>13195.1</v>
      </c>
      <c r="M108" s="161" t="n">
        <v>11123.42</v>
      </c>
      <c r="N108" s="190" t="n">
        <v>2071.68</v>
      </c>
      <c r="O108" s="163" t="n">
        <v>12</v>
      </c>
      <c r="P108" s="161" t="n">
        <v>43029.23</v>
      </c>
      <c r="Q108" s="161" t="n">
        <f aca="false">R108+S108</f>
        <v>40146.74</v>
      </c>
      <c r="R108" s="161" t="n">
        <v>35453.78</v>
      </c>
      <c r="S108" s="190" t="n">
        <v>4692.96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12</v>
      </c>
      <c r="I110" s="148" t="n">
        <v>7</v>
      </c>
      <c r="J110" s="148" t="n">
        <v>8</v>
      </c>
      <c r="K110" s="149" t="n">
        <v>10898.87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35</v>
      </c>
      <c r="I112" s="148" t="n">
        <v>32</v>
      </c>
      <c r="J112" s="148" t="n">
        <v>42</v>
      </c>
      <c r="K112" s="149" t="n">
        <v>58115.02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9</v>
      </c>
      <c r="I113" s="165" t="n">
        <v>6</v>
      </c>
      <c r="J113" s="165" t="n">
        <v>6</v>
      </c>
      <c r="K113" s="166" t="n">
        <v>15447.25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/>
      <c r="N114" s="190" t="n">
        <v>386.61</v>
      </c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16</v>
      </c>
      <c r="I116" s="160" t="n">
        <v>10</v>
      </c>
      <c r="J116" s="160" t="n">
        <v>11</v>
      </c>
      <c r="K116" s="161" t="n">
        <v>11822.95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 t="n">
        <f aca="false">8100.4</f>
        <v>8100.4</v>
      </c>
      <c r="N117" s="156"/>
      <c r="O117" s="157" t="n">
        <v>9</v>
      </c>
      <c r="P117" s="155" t="n">
        <v>22553.6</v>
      </c>
      <c r="Q117" s="155" t="n">
        <f aca="false">R117+S117</f>
        <v>27156.1</v>
      </c>
      <c r="R117" s="155" t="n">
        <f aca="false">528.6+22025+4602.5</f>
        <v>27156.1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36</v>
      </c>
      <c r="I118" s="160" t="n">
        <v>30</v>
      </c>
      <c r="J118" s="160" t="n">
        <v>44</v>
      </c>
      <c r="K118" s="161" t="n">
        <v>84289.44</v>
      </c>
      <c r="L118" s="161" t="n">
        <f aca="false">M118+N118</f>
        <v>46541.91</v>
      </c>
      <c r="M118" s="161" t="n">
        <v>46541.91</v>
      </c>
      <c r="N118" s="190"/>
      <c r="O118" s="163" t="n">
        <v>30</v>
      </c>
      <c r="P118" s="161" t="n">
        <v>58377.09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47</v>
      </c>
      <c r="I122" s="148" t="n">
        <v>33</v>
      </c>
      <c r="J122" s="148" t="n">
        <v>41</v>
      </c>
      <c r="K122" s="149" t="n">
        <v>54037.51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27506.31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29</v>
      </c>
      <c r="I123" s="165" t="n">
        <v>19</v>
      </c>
      <c r="J123" s="165" t="n">
        <v>19</v>
      </c>
      <c r="K123" s="166" t="n">
        <v>21121.69</v>
      </c>
      <c r="L123" s="166" t="n">
        <v>21121.69</v>
      </c>
      <c r="M123" s="166" t="n">
        <v>21121.69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34</v>
      </c>
      <c r="I124" s="148" t="n">
        <v>22</v>
      </c>
      <c r="J124" s="148" t="n">
        <v>31</v>
      </c>
      <c r="K124" s="149" t="n">
        <v>135956</v>
      </c>
      <c r="L124" s="149" t="n">
        <f aca="false">M124+N124</f>
        <v>78634.92</v>
      </c>
      <c r="M124" s="149" t="n">
        <v>78634.92</v>
      </c>
      <c r="N124" s="190"/>
      <c r="O124" s="151" t="n">
        <v>24</v>
      </c>
      <c r="P124" s="149" t="n">
        <v>86775.94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45</v>
      </c>
      <c r="I126" s="160" t="n">
        <v>26</v>
      </c>
      <c r="J126" s="160" t="n">
        <v>28</v>
      </c>
      <c r="K126" s="161" t="n">
        <v>123927.68</v>
      </c>
      <c r="L126" s="161" t="n">
        <f aca="false">M126+N126</f>
        <v>33685.02</v>
      </c>
      <c r="M126" s="161" t="n">
        <v>33685.02</v>
      </c>
      <c r="N126" s="190"/>
      <c r="O126" s="163" t="n">
        <v>23</v>
      </c>
      <c r="P126" s="161" t="n">
        <v>159086.02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11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9</v>
      </c>
      <c r="P131" s="161" t="n">
        <v>23338.41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16749.33</v>
      </c>
      <c r="R132" s="155" t="n">
        <f aca="false">1585.8+1585.8+6070.83+5041.6+2465.3</f>
        <v>16749.33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40</v>
      </c>
      <c r="I137" s="148" t="n">
        <v>30</v>
      </c>
      <c r="J137" s="148" t="n">
        <v>39</v>
      </c>
      <c r="K137" s="149" t="n">
        <v>99974.14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19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21</v>
      </c>
      <c r="J142" s="160" t="n">
        <v>23</v>
      </c>
      <c r="K142" s="161" t="n">
        <v>13959.5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19</v>
      </c>
      <c r="I143" s="181" t="n">
        <v>6</v>
      </c>
      <c r="J143" s="181" t="n">
        <v>6</v>
      </c>
      <c r="K143" s="182" t="n">
        <v>5241.35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10</v>
      </c>
      <c r="I145" s="148" t="n">
        <v>7</v>
      </c>
      <c r="J145" s="148" t="n">
        <v>8</v>
      </c>
      <c r="K145" s="149" t="n">
        <v>8735.43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28</v>
      </c>
      <c r="I147" s="160" t="n">
        <v>21</v>
      </c>
      <c r="J147" s="160" t="n">
        <v>22</v>
      </c>
      <c r="K147" s="161" t="n">
        <v>28785.94</v>
      </c>
      <c r="L147" s="161" t="n">
        <f aca="false">M147+N147</f>
        <v>21127.38</v>
      </c>
      <c r="M147" s="161" t="n">
        <v>21127.38</v>
      </c>
      <c r="N147" s="190"/>
      <c r="O147" s="163" t="n">
        <v>9</v>
      </c>
      <c r="P147" s="161" t="n">
        <v>31735.04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9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9</v>
      </c>
      <c r="I149" s="148" t="n">
        <v>6</v>
      </c>
      <c r="J149" s="148" t="n">
        <v>9</v>
      </c>
      <c r="K149" s="149" t="n">
        <v>17592.85</v>
      </c>
      <c r="L149" s="149" t="n">
        <f aca="false">M149+N149</f>
        <v>8028.11</v>
      </c>
      <c r="M149" s="149" t="n">
        <v>8028.11</v>
      </c>
      <c r="N149" s="190"/>
      <c r="O149" s="151" t="n">
        <v>12</v>
      </c>
      <c r="P149" s="149" t="n">
        <v>79923.58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4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1834.44</v>
      </c>
      <c r="M151" s="149"/>
      <c r="N151" s="224" t="n">
        <v>1834.44</v>
      </c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6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3534.72</v>
      </c>
      <c r="M152" s="155" t="n">
        <f aca="false">2430.12+1104.6</f>
        <v>3534.72</v>
      </c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2</v>
      </c>
      <c r="J153" s="160" t="n">
        <v>2</v>
      </c>
      <c r="K153" s="161" t="n">
        <v>22424.13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 t="n">
        <v>2</v>
      </c>
      <c r="J155" s="148" t="n">
        <v>2</v>
      </c>
      <c r="K155" s="149" t="n">
        <v>7305.59</v>
      </c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6</v>
      </c>
      <c r="J157" s="160" t="n">
        <v>7</v>
      </c>
      <c r="K157" s="161" t="n">
        <v>17193.36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8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17</v>
      </c>
      <c r="I159" s="148" t="n">
        <v>14</v>
      </c>
      <c r="J159" s="148" t="n">
        <v>18</v>
      </c>
      <c r="K159" s="149" t="n">
        <v>41066.04</v>
      </c>
      <c r="L159" s="149" t="n">
        <f aca="false">M159+N159</f>
        <v>21755.92</v>
      </c>
      <c r="M159" s="149" t="n">
        <v>21755.92</v>
      </c>
      <c r="N159" s="190"/>
      <c r="O159" s="151" t="n">
        <v>24</v>
      </c>
      <c r="P159" s="149" t="n">
        <v>58087.62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9</v>
      </c>
      <c r="J160" s="165" t="n">
        <v>9</v>
      </c>
      <c r="K160" s="166" t="n">
        <v>30395.78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18</v>
      </c>
      <c r="P160" s="155" t="n">
        <v>73281.66</v>
      </c>
      <c r="Q160" s="155" t="n">
        <f aca="false">R160+S160</f>
        <v>74699.23</v>
      </c>
      <c r="R160" s="155" t="n">
        <f aca="false">66838.16+5891.2+552.3+1417.57</f>
        <v>74699.23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32</v>
      </c>
      <c r="I161" s="148" t="n">
        <v>28</v>
      </c>
      <c r="J161" s="193" t="n">
        <v>35</v>
      </c>
      <c r="K161" s="149" t="n">
        <v>48929.93</v>
      </c>
      <c r="L161" s="149" t="n">
        <f aca="false">M161+N161</f>
        <v>37553.38</v>
      </c>
      <c r="M161" s="149" t="n">
        <v>37553.38</v>
      </c>
      <c r="N161" s="190"/>
      <c r="O161" s="163" t="n">
        <v>21</v>
      </c>
      <c r="P161" s="161" t="n">
        <v>141151.82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4</v>
      </c>
      <c r="J162" s="165" t="n">
        <v>3</v>
      </c>
      <c r="K162" s="166" t="n">
        <v>10296.2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31</v>
      </c>
      <c r="I165" s="160" t="n">
        <v>28</v>
      </c>
      <c r="J165" s="160" t="n">
        <v>41</v>
      </c>
      <c r="K165" s="140" t="n">
        <v>100322.58</v>
      </c>
      <c r="L165" s="140" t="n">
        <f aca="false">M165+N165</f>
        <v>79081.21</v>
      </c>
      <c r="M165" s="140" t="n">
        <v>71945.49</v>
      </c>
      <c r="N165" s="190" t="n">
        <v>7135.72</v>
      </c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29719.69</v>
      </c>
      <c r="S165" s="190" t="n">
        <v>2761.5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16</v>
      </c>
      <c r="I167" s="148" t="n">
        <v>15</v>
      </c>
      <c r="J167" s="148" t="n">
        <v>19</v>
      </c>
      <c r="K167" s="149" t="n">
        <v>41719.29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5797.48</v>
      </c>
      <c r="Q169" s="161" t="n">
        <f aca="false">R169+S169</f>
        <v>5797.48</v>
      </c>
      <c r="R169" s="161" t="n">
        <v>5797.48</v>
      </c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6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27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4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29</v>
      </c>
      <c r="I175" s="160" t="n">
        <v>21</v>
      </c>
      <c r="J175" s="160" t="n">
        <v>25</v>
      </c>
      <c r="K175" s="161" t="n">
        <v>29092.64</v>
      </c>
      <c r="L175" s="161" t="n">
        <f aca="false">M175+N175</f>
        <v>15676.78</v>
      </c>
      <c r="M175" s="161" t="n">
        <v>15676.78</v>
      </c>
      <c r="N175" s="190"/>
      <c r="O175" s="163" t="n">
        <v>24</v>
      </c>
      <c r="P175" s="161" t="n">
        <v>63326.02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5063.02</v>
      </c>
      <c r="M176" s="166" t="n">
        <f aca="false">1585.8+2924.92+552.3</f>
        <v>5063.02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17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12430.95</v>
      </c>
      <c r="R181" s="166" t="n">
        <f aca="false">1762+1278.41+2862.29+1189.35+1288.7+4050.2</f>
        <v>12430.95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11276.8+2945.6</f>
        <v>14222.4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2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/>
      <c r="N188" s="190" t="n">
        <v>649.87</v>
      </c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8</v>
      </c>
      <c r="I189" s="200" t="n">
        <v>5</v>
      </c>
      <c r="J189" s="200" t="n">
        <v>5</v>
      </c>
      <c r="K189" s="201" t="n">
        <v>10814.36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8689.1</v>
      </c>
      <c r="R190" s="161" t="n">
        <v>7400.4</v>
      </c>
      <c r="S190" s="190" t="n">
        <v>1288.7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46</v>
      </c>
      <c r="I192" s="148" t="n">
        <v>44</v>
      </c>
      <c r="J192" s="148" t="n">
        <v>67</v>
      </c>
      <c r="K192" s="149" t="n">
        <v>109652.45</v>
      </c>
      <c r="L192" s="149" t="n">
        <f aca="false">M192+N192</f>
        <v>89688.59</v>
      </c>
      <c r="M192" s="149" t="n">
        <v>89688.59</v>
      </c>
      <c r="N192" s="190"/>
      <c r="O192" s="151" t="n">
        <v>38</v>
      </c>
      <c r="P192" s="149" t="n">
        <v>139570.66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13</v>
      </c>
      <c r="I194" s="160" t="n">
        <v>8</v>
      </c>
      <c r="J194" s="160" t="n">
        <v>8</v>
      </c>
      <c r="K194" s="161" t="n">
        <v>6402.76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7</v>
      </c>
      <c r="J195" s="165" t="n">
        <v>7</v>
      </c>
      <c r="K195" s="166" t="n">
        <v>12518.8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30</v>
      </c>
      <c r="I196" s="148" t="n">
        <v>15</v>
      </c>
      <c r="J196" s="148" t="n">
        <v>16</v>
      </c>
      <c r="K196" s="149" t="n">
        <v>27701.57</v>
      </c>
      <c r="L196" s="149" t="n">
        <f aca="false">M196+N196</f>
        <v>27094.04</v>
      </c>
      <c r="M196" s="149" t="n">
        <v>27094.04</v>
      </c>
      <c r="N196" s="190"/>
      <c r="O196" s="151" t="n">
        <v>13</v>
      </c>
      <c r="P196" s="149" t="n">
        <v>27526.97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63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63791.94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16</v>
      </c>
      <c r="I199" s="154" t="n">
        <v>12</v>
      </c>
      <c r="J199" s="154" t="n">
        <v>12</v>
      </c>
      <c r="K199" s="155" t="n">
        <v>13923.11</v>
      </c>
      <c r="L199" s="155" t="n">
        <v>13923.11</v>
      </c>
      <c r="M199" s="155" t="n">
        <v>13923.11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29</v>
      </c>
      <c r="I200" s="160" t="n">
        <v>16</v>
      </c>
      <c r="J200" s="160" t="n">
        <v>20</v>
      </c>
      <c r="K200" s="161" t="n">
        <v>55201.62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17</v>
      </c>
      <c r="J201" s="165" t="n">
        <v>17</v>
      </c>
      <c r="K201" s="166" t="n">
        <v>42312.93</v>
      </c>
      <c r="L201" s="166" t="n">
        <v>42312.93</v>
      </c>
      <c r="M201" s="166" t="n">
        <v>42312.93</v>
      </c>
      <c r="N201" s="156"/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36</v>
      </c>
      <c r="I202" s="148" t="n">
        <v>27</v>
      </c>
      <c r="J202" s="148" t="n">
        <v>34</v>
      </c>
      <c r="K202" s="149" t="n">
        <v>38052.04</v>
      </c>
      <c r="L202" s="149" t="n">
        <f aca="false">M202+N202</f>
        <v>23180.8</v>
      </c>
      <c r="M202" s="149" t="n">
        <v>23180.8</v>
      </c>
      <c r="N202" s="190"/>
      <c r="O202" s="151" t="n">
        <v>28</v>
      </c>
      <c r="P202" s="149" t="n">
        <v>117273.29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621.99</v>
      </c>
      <c r="M204" s="149"/>
      <c r="N204" s="190" t="n">
        <v>621.99</v>
      </c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19</v>
      </c>
      <c r="J208" s="160" t="n">
        <v>21</v>
      </c>
      <c r="K208" s="161" t="n">
        <v>23478.88</v>
      </c>
      <c r="L208" s="161" t="n">
        <f aca="false">M208+N208</f>
        <v>13026.32</v>
      </c>
      <c r="M208" s="161" t="n">
        <v>13026.32</v>
      </c>
      <c r="N208" s="190"/>
      <c r="O208" s="163" t="n">
        <v>9</v>
      </c>
      <c r="P208" s="161" t="n">
        <v>88573.81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8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13</v>
      </c>
      <c r="J210" s="148" t="n">
        <v>23</v>
      </c>
      <c r="K210" s="149" t="n">
        <v>69022.94</v>
      </c>
      <c r="L210" s="149" t="n">
        <f aca="false">M210+N210</f>
        <v>55173.64</v>
      </c>
      <c r="M210" s="149" t="n">
        <v>55173.64</v>
      </c>
      <c r="N210" s="190"/>
      <c r="O210" s="151" t="n">
        <v>19</v>
      </c>
      <c r="P210" s="149" t="n">
        <v>176100.35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25</v>
      </c>
      <c r="I212" s="160" t="n">
        <v>19</v>
      </c>
      <c r="J212" s="160" t="n">
        <v>34</v>
      </c>
      <c r="K212" s="161" t="n">
        <v>72088.75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20592.86</v>
      </c>
      <c r="N214" s="190"/>
      <c r="O214" s="151" t="n">
        <v>3</v>
      </c>
      <c r="P214" s="149" t="n">
        <v>5504.35</v>
      </c>
      <c r="Q214" s="149" t="n">
        <f aca="false">R214+S214</f>
        <v>5504.35</v>
      </c>
      <c r="R214" s="149" t="n">
        <v>5504.35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6</v>
      </c>
      <c r="I215" s="165" t="n">
        <v>2</v>
      </c>
      <c r="J215" s="165" t="n">
        <v>2</v>
      </c>
      <c r="K215" s="166" t="n">
        <v>3618.8</v>
      </c>
      <c r="L215" s="166" t="n">
        <f aca="false">M215+N215</f>
        <v>3250.6</v>
      </c>
      <c r="M215" s="166" t="n">
        <f aca="false">1409.6+1841</f>
        <v>3250.6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10</v>
      </c>
      <c r="P217" s="166" t="n">
        <v>41813.62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27</v>
      </c>
      <c r="I218" s="148" t="n">
        <v>18</v>
      </c>
      <c r="J218" s="148" t="n">
        <v>23</v>
      </c>
      <c r="K218" s="149" t="n">
        <v>40835.59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14</v>
      </c>
      <c r="P218" s="149" t="n">
        <v>51085.65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6</v>
      </c>
      <c r="K219" s="155" t="n">
        <v>13233.97</v>
      </c>
      <c r="L219" s="155" t="n">
        <f aca="false">M219+N219</f>
        <v>12957.82</v>
      </c>
      <c r="M219" s="155" t="n">
        <f aca="false">3347.8+1288.7+5467.77+1841+1012.55</f>
        <v>12957.82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30</v>
      </c>
      <c r="I220" s="160" t="n">
        <v>17</v>
      </c>
      <c r="J220" s="160" t="n">
        <v>26</v>
      </c>
      <c r="K220" s="161" t="n">
        <v>50762.46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5593.75</v>
      </c>
      <c r="L221" s="166" t="n">
        <v>5593.75</v>
      </c>
      <c r="M221" s="166" t="n">
        <v>5593.75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13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6995.8+1288.7+5707.1+2945.6</f>
        <v>16937.2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3</v>
      </c>
      <c r="I224" s="148" t="n">
        <v>1</v>
      </c>
      <c r="J224" s="148" t="n">
        <v>1</v>
      </c>
      <c r="K224" s="149" t="n">
        <v>736.4</v>
      </c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8</v>
      </c>
      <c r="I227" s="154" t="n">
        <v>5</v>
      </c>
      <c r="J227" s="154" t="n">
        <v>5</v>
      </c>
      <c r="K227" s="155" t="n">
        <v>15147.02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28</v>
      </c>
      <c r="I228" s="160" t="n">
        <v>23</v>
      </c>
      <c r="J228" s="160" t="n">
        <v>35</v>
      </c>
      <c r="K228" s="161" t="n">
        <v>53774.03</v>
      </c>
      <c r="L228" s="161" t="n">
        <f aca="false">M228+N228</f>
        <v>45981.11</v>
      </c>
      <c r="M228" s="161" t="n">
        <v>45981.11</v>
      </c>
      <c r="N228" s="190"/>
      <c r="O228" s="163" t="n">
        <v>12</v>
      </c>
      <c r="P228" s="161" t="n">
        <v>72912.46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 t="n">
        <f aca="false">552.3</f>
        <v>552.3</v>
      </c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9</v>
      </c>
      <c r="I230" s="148" t="n">
        <v>6</v>
      </c>
      <c r="J230" s="148" t="n">
        <v>6</v>
      </c>
      <c r="K230" s="149" t="n">
        <v>7525.03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7</v>
      </c>
      <c r="P232" s="161" t="n">
        <v>45328.43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5</v>
      </c>
      <c r="J233" s="165" t="n">
        <v>5</v>
      </c>
      <c r="K233" s="166" t="n">
        <v>10225.1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3171.6+2117.15+552.3</f>
        <v>5841.05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4</v>
      </c>
      <c r="J237" s="165" t="n">
        <v>4</v>
      </c>
      <c r="K237" s="166" t="n">
        <v>9664.55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9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18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3</v>
      </c>
      <c r="P242" s="149" t="n">
        <v>23268.56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7648.67</v>
      </c>
      <c r="N244" s="224" t="n">
        <v>5365.21</v>
      </c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3</v>
      </c>
      <c r="J245" s="154" t="n">
        <v>3</v>
      </c>
      <c r="K245" s="155" t="n">
        <v>4166.84</v>
      </c>
      <c r="L245" s="155" t="n">
        <v>4166.84</v>
      </c>
      <c r="M245" s="155" t="n">
        <v>4166.84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5</v>
      </c>
      <c r="P246" s="161" t="n">
        <v>18277.74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528.6+3700.2+1288.7+3497.9+2393.3+1288.7</f>
        <v>12697.4</v>
      </c>
      <c r="N247" s="167"/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2697</v>
      </c>
      <c r="I252" s="214" t="n">
        <f aca="false">SUM(I9:I251)</f>
        <v>1722</v>
      </c>
      <c r="J252" s="214" t="n">
        <f aca="false">SUM(J9:J251)</f>
        <v>2105</v>
      </c>
      <c r="K252" s="215" t="n">
        <f aca="false">SUM(K9:K251)</f>
        <v>3843178.7</v>
      </c>
      <c r="L252" s="215" t="n">
        <f aca="false">SUM(L9:L251)</f>
        <v>2890976.03</v>
      </c>
      <c r="M252" s="215" t="n">
        <f aca="false">SUM(M9:M251)</f>
        <v>2749821.71</v>
      </c>
      <c r="N252" s="243" t="n">
        <f aca="false">SUM(N9:N251)</f>
        <v>146228.15</v>
      </c>
      <c r="O252" s="244" t="n">
        <f aca="false">SUM(O9:O251)</f>
        <v>1241</v>
      </c>
      <c r="P252" s="245" t="n">
        <f aca="false">SUM(P9:P251)</f>
        <v>4708549.07</v>
      </c>
      <c r="Q252" s="245" t="n">
        <f aca="false">SUM(Q9:Q251)</f>
        <v>4291330.91</v>
      </c>
      <c r="R252" s="245" t="n">
        <f aca="false">SUM(R9:R251)</f>
        <v>4178858.74</v>
      </c>
      <c r="S252" s="246" t="n">
        <f aca="false">SUM(S9:S251)</f>
        <v>123426.12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1860</v>
      </c>
      <c r="H258" s="108" t="n">
        <f aca="false">SUMIF($G$9:$G$251,$F$258,I9:I251)</f>
        <v>1303</v>
      </c>
      <c r="I258" s="108" t="n">
        <f aca="false">SUMIF($G$9:$G$251,$F$258,J9:J251)</f>
        <v>1678</v>
      </c>
      <c r="J258" s="110" t="n">
        <f aca="false">SUMIF($G$9:$G$251,F258,$K$9:$K$251)</f>
        <v>3095314.31</v>
      </c>
      <c r="K258" s="110" t="n">
        <f aca="false">SUMIF($G$9:$G$251,$F$258,L9:L251)</f>
        <v>2239253.44</v>
      </c>
      <c r="L258" s="110" t="n">
        <f aca="false">SUMIF($G$9:$G$251,$F$258,M9:M251)</f>
        <v>2098104.62</v>
      </c>
      <c r="M258" s="110" t="n">
        <f aca="false">SUMIF($G$9:$G$251,$F$258,N9:N251)</f>
        <v>146228.15</v>
      </c>
      <c r="N258" s="108" t="n">
        <f aca="false">SUMIF($G$9:$G$251,$F$258,O9:O251)</f>
        <v>829</v>
      </c>
      <c r="O258" s="110" t="n">
        <f aca="false">SUMIF($G$9:$G$251,F258,$P$9:$P$251)</f>
        <v>3596525.59</v>
      </c>
      <c r="P258" s="110" t="n">
        <f aca="false">SUMIF($G$9:$G$251,$F$258,Q9:Q251)</f>
        <v>3153676.82</v>
      </c>
      <c r="Q258" s="110" t="n">
        <f aca="false">SUMIF($G$9:$G$251,$F$258,R9:R251)</f>
        <v>3030250.7</v>
      </c>
      <c r="R258" s="110" t="n">
        <f aca="false">SUMIF($G$9:$G$251,$F$258,S9:S251)</f>
        <v>123426.12</v>
      </c>
      <c r="S258" s="110" t="n">
        <f aca="false">Q258+L258</f>
        <v>5128355.32</v>
      </c>
      <c r="T258" s="111" t="n">
        <f aca="false">J258-L258+O258-Q258</f>
        <v>1563484.58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554</v>
      </c>
      <c r="H259" s="108" t="n">
        <f aca="false">SUMIF($G$9:$G$251,$F$259,I9:I251)</f>
        <v>244</v>
      </c>
      <c r="I259" s="108" t="n">
        <f aca="false">SUMIF($G$9:$G$251,$F$259,J9:J251)</f>
        <v>252</v>
      </c>
      <c r="J259" s="110" t="n">
        <f aca="false">SUMIF($G$9:$G$251,F259,$K$9:$K$251)</f>
        <v>513958.05</v>
      </c>
      <c r="K259" s="110" t="n">
        <f aca="false">SUMIF($G$9:$G$251,$F$259,L9:L251)</f>
        <v>417816.25</v>
      </c>
      <c r="L259" s="110" t="n">
        <f aca="false">SUMIF($G$9:$G$251,$F$259,M9:M251)</f>
        <v>417810.75</v>
      </c>
      <c r="M259" s="110" t="n">
        <f aca="false">SUMIF($G$9:$G$251,$F$259,N9:N251)</f>
        <v>0</v>
      </c>
      <c r="N259" s="108" t="n">
        <f aca="false">SUMIF($G$9:$G$251,$F$259,O9:O251)</f>
        <v>301</v>
      </c>
      <c r="O259" s="110" t="n">
        <f aca="false">SUMIF($G$9:$G$251,F259,$P$9:$P$251)</f>
        <v>868589.28</v>
      </c>
      <c r="P259" s="110" t="n">
        <f aca="false">SUMIF($G$9:$G$251,$F$259,Q9:Q251)</f>
        <v>894219.89</v>
      </c>
      <c r="Q259" s="110" t="n">
        <f aca="false">SUMIF($G$9:$G$251,$F$259,R9:R251)</f>
        <v>905173.84</v>
      </c>
      <c r="R259" s="110" t="n">
        <f aca="false">SUMIF($G$9:$G$251,$F$259,S9:S251)</f>
        <v>0</v>
      </c>
      <c r="S259" s="110" t="n">
        <f aca="false">Q259+L259</f>
        <v>1322984.59</v>
      </c>
      <c r="T259" s="111" t="n">
        <f aca="false">J259-L259+O259-Q259</f>
        <v>59562.74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283</v>
      </c>
      <c r="H260" s="108" t="n">
        <f aca="false">SUMIF($G$9:$G$251,$F$260,I9:I251)</f>
        <v>175</v>
      </c>
      <c r="I260" s="108" t="n">
        <f aca="false">SUMIF($G$9:$G$251,$F$260,J9:J251)</f>
        <v>175</v>
      </c>
      <c r="J260" s="110" t="n">
        <f aca="false">SUMIF($G$9:$G$251,F260,$K$9:$K$251)</f>
        <v>233906.34</v>
      </c>
      <c r="K260" s="110" t="n">
        <f aca="false">SUMIF($G$9:$G$251,$F$260,L9:L251)</f>
        <v>233906.34</v>
      </c>
      <c r="L260" s="110" t="n">
        <f aca="false">SUMIF($G$9:$G$251,$F$260,M9:M251)</f>
        <v>233906.34</v>
      </c>
      <c r="M260" s="110" t="n">
        <f aca="false">SUMIF($G$9:$G$251,$F$260,N9:N251)</f>
        <v>0</v>
      </c>
      <c r="N260" s="108" t="n">
        <f aca="false">SUMIF($G$9:$G$251,$F$260,O9:O251)</f>
        <v>111</v>
      </c>
      <c r="O260" s="110" t="n">
        <f aca="false">SUMIF($G$9:$G$251,F260,$P$9:$P$251)</f>
        <v>243434.2</v>
      </c>
      <c r="P260" s="110" t="n">
        <f aca="false">SUMIF($G$9:$G$251,$F$260,Q9:Q251)</f>
        <v>243434.2</v>
      </c>
      <c r="Q260" s="110" t="n">
        <f aca="false">SUMIF($G$9:$G$251,$F$260,R9:R251)</f>
        <v>243434.2</v>
      </c>
      <c r="R260" s="110" t="n">
        <f aca="false">SUMIF($G$9:$G$251,$F$260,S9:S251)</f>
        <v>0</v>
      </c>
      <c r="S260" s="110" t="n">
        <f aca="false">Q260+L260</f>
        <v>477340.54</v>
      </c>
      <c r="T260" s="111" t="n">
        <f aca="false">J260-L260+O260-Q260</f>
        <v>0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2697</v>
      </c>
      <c r="H261" s="216" t="n">
        <f aca="false">H260+H259+H258</f>
        <v>1722</v>
      </c>
      <c r="I261" s="216" t="n">
        <f aca="false">I260+I259+I258</f>
        <v>2105</v>
      </c>
      <c r="J261" s="217" t="n">
        <f aca="false">J260+J259+J258</f>
        <v>3843178.7</v>
      </c>
      <c r="K261" s="217" t="n">
        <f aca="false">K260+K259+K258</f>
        <v>2890976.03</v>
      </c>
      <c r="L261" s="217" t="n">
        <f aca="false">L260+L259+L258</f>
        <v>2749821.71</v>
      </c>
      <c r="M261" s="217" t="n">
        <f aca="false">M260+M259+M258</f>
        <v>146228.15</v>
      </c>
      <c r="N261" s="216" t="n">
        <f aca="false">N260+N259+N258</f>
        <v>1241</v>
      </c>
      <c r="O261" s="217" t="n">
        <f aca="false">O260+O259+O258</f>
        <v>4708549.07</v>
      </c>
      <c r="P261" s="217" t="n">
        <f aca="false">P260+P259+P258</f>
        <v>4291330.91</v>
      </c>
      <c r="Q261" s="217" t="n">
        <f aca="false">Q260+Q259+Q258</f>
        <v>4178858.74</v>
      </c>
      <c r="R261" s="217" t="n">
        <f aca="false">R260+R259+R258</f>
        <v>123426.12</v>
      </c>
      <c r="S261" s="217" t="n">
        <f aca="false">S260+S259+S258</f>
        <v>6928680.45</v>
      </c>
      <c r="T261" s="217" t="n">
        <f aca="false">T260+T259+T258</f>
        <v>1623047.32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1774</v>
      </c>
      <c r="H322" s="247" t="n">
        <v>1257</v>
      </c>
      <c r="I322" s="247" t="n">
        <v>1612</v>
      </c>
      <c r="J322" s="0" t="n">
        <v>2940047.48</v>
      </c>
      <c r="K322" s="236"/>
      <c r="N322" s="0" t="n">
        <v>817</v>
      </c>
      <c r="O322" s="0" t="n">
        <v>3473352.57</v>
      </c>
    </row>
    <row r="323" customFormat="false" ht="15" hidden="false" customHeight="false" outlineLevel="0" collapsed="false">
      <c r="G323" s="221" t="n">
        <f aca="false">G258-G322</f>
        <v>86</v>
      </c>
      <c r="H323" s="221" t="n">
        <f aca="false">H258-H322</f>
        <v>46</v>
      </c>
      <c r="I323" s="221" t="n">
        <f aca="false">I258-I322</f>
        <v>66</v>
      </c>
      <c r="J323" s="229" t="n">
        <f aca="false">J258-J322</f>
        <v>155266.83</v>
      </c>
      <c r="K323" s="236"/>
      <c r="N323" s="221" t="n">
        <f aca="false">N258-N322</f>
        <v>12</v>
      </c>
      <c r="O323" s="229" t="n">
        <f aca="false">O258-O322</f>
        <v>123173.02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 t="n">
        <v>1</v>
      </c>
      <c r="J9" s="148" t="n">
        <v>1</v>
      </c>
      <c r="K9" s="149" t="n">
        <v>965.3</v>
      </c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 t="n">
        <v>2</v>
      </c>
      <c r="J10" s="154" t="n">
        <v>2</v>
      </c>
      <c r="K10" s="155" t="n">
        <v>2209.2</v>
      </c>
      <c r="L10" s="155" t="n">
        <v>2209.2</v>
      </c>
      <c r="M10" s="155" t="n">
        <v>2209.2</v>
      </c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30</v>
      </c>
      <c r="I11" s="160" t="n">
        <v>22</v>
      </c>
      <c r="J11" s="160" t="n">
        <v>37</v>
      </c>
      <c r="K11" s="161" t="n">
        <v>86233.66</v>
      </c>
      <c r="L11" s="161" t="n">
        <v>71801.93</v>
      </c>
      <c r="M11" s="161" t="n">
        <v>71801.93</v>
      </c>
      <c r="N11" s="239" t="n">
        <v>5079.33</v>
      </c>
      <c r="O11" s="151" t="n">
        <v>13</v>
      </c>
      <c r="P11" s="149" t="n">
        <v>83076.37</v>
      </c>
      <c r="Q11" s="149" t="n">
        <f aca="false">R11+S11</f>
        <v>44135.02</v>
      </c>
      <c r="R11" s="149" t="n">
        <v>39893.36</v>
      </c>
      <c r="S11" s="150" t="n">
        <v>4241.66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2945.6</v>
      </c>
      <c r="M12" s="166" t="n">
        <f aca="false">1841+1104.6</f>
        <v>2945.6</v>
      </c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38</v>
      </c>
      <c r="I13" s="148" t="n">
        <v>34</v>
      </c>
      <c r="J13" s="148" t="n">
        <v>52</v>
      </c>
      <c r="K13" s="149" t="n">
        <v>83726.76</v>
      </c>
      <c r="L13" s="149" t="n">
        <f aca="false">M13+N13</f>
        <v>75001.38</v>
      </c>
      <c r="M13" s="149" t="n">
        <v>75001.38</v>
      </c>
      <c r="N13" s="249"/>
      <c r="O13" s="228" t="n">
        <v>8</v>
      </c>
      <c r="P13" s="161" t="n">
        <v>31855.11</v>
      </c>
      <c r="Q13" s="161" t="n">
        <f aca="false">R13+S13</f>
        <v>31855.11</v>
      </c>
      <c r="R13" s="161" t="n">
        <v>31855.11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17466.75</v>
      </c>
      <c r="M14" s="155" t="n">
        <f aca="false">1938.2+5638.4+4017.36+1822.59+4050.2</f>
        <v>17466.75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4</v>
      </c>
      <c r="J16" s="165" t="n">
        <v>4</v>
      </c>
      <c r="K16" s="166" t="n">
        <v>9191.6</v>
      </c>
      <c r="L16" s="166" t="n">
        <f aca="false">M16+N16</f>
        <v>7350.6</v>
      </c>
      <c r="M16" s="166" t="n">
        <f aca="false">4405+2945.6</f>
        <v>7350.6</v>
      </c>
      <c r="N16" s="167"/>
      <c r="O16" s="168" t="n">
        <v>5</v>
      </c>
      <c r="P16" s="166" t="n">
        <v>31011.2</v>
      </c>
      <c r="Q16" s="166" t="n">
        <f aca="false">R16+S16</f>
        <v>25827.9</v>
      </c>
      <c r="R16" s="166" t="n">
        <f aca="false">23434.6+2393.3</f>
        <v>25827.9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24</v>
      </c>
      <c r="I19" s="160" t="n">
        <v>6</v>
      </c>
      <c r="J19" s="160" t="n">
        <v>7</v>
      </c>
      <c r="K19" s="161" t="n">
        <v>10072.71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8</v>
      </c>
      <c r="J20" s="154" t="n">
        <v>8</v>
      </c>
      <c r="K20" s="155" t="n">
        <v>6300</v>
      </c>
      <c r="L20" s="155" t="n">
        <f aca="false">M20+N20</f>
        <v>6300</v>
      </c>
      <c r="M20" s="155" t="n">
        <f aca="false">2986.2+1656.9+1104.6+552.3</f>
        <v>6300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25</v>
      </c>
      <c r="I21" s="160" t="n">
        <v>19</v>
      </c>
      <c r="J21" s="160" t="n">
        <v>26</v>
      </c>
      <c r="K21" s="161" t="n">
        <v>33962.34</v>
      </c>
      <c r="L21" s="161" t="n">
        <f aca="false">M21+N21</f>
        <v>21199.65</v>
      </c>
      <c r="M21" s="161" t="n">
        <v>21199.65</v>
      </c>
      <c r="N21" s="190"/>
      <c r="O21" s="163" t="n">
        <v>20</v>
      </c>
      <c r="P21" s="161" t="n">
        <v>51655.43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4</v>
      </c>
      <c r="P22" s="155" t="n">
        <v>4604.9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34</v>
      </c>
      <c r="I23" s="160" t="n">
        <v>27</v>
      </c>
      <c r="J23" s="160" t="n">
        <v>43</v>
      </c>
      <c r="K23" s="161" t="n">
        <v>61668.73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30</v>
      </c>
      <c r="I25" s="148" t="n">
        <v>23</v>
      </c>
      <c r="J25" s="148" t="n">
        <v>24</v>
      </c>
      <c r="K25" s="148" t="n">
        <v>11917.54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29</v>
      </c>
      <c r="I27" s="160" t="n">
        <v>27</v>
      </c>
      <c r="J27" s="160" t="n">
        <v>44</v>
      </c>
      <c r="K27" s="161" t="n">
        <v>94630.01</v>
      </c>
      <c r="L27" s="161" t="n">
        <f aca="false">M27+N27</f>
        <v>77966.2</v>
      </c>
      <c r="M27" s="161" t="n">
        <v>68607.98</v>
      </c>
      <c r="N27" s="190" t="n">
        <v>9358.22</v>
      </c>
      <c r="O27" s="151" t="n">
        <v>9</v>
      </c>
      <c r="P27" s="149" t="n">
        <v>30370.2</v>
      </c>
      <c r="Q27" s="149" t="n">
        <f aca="false">R27+S27</f>
        <v>28995.84</v>
      </c>
      <c r="R27" s="149" t="n">
        <v>20128.87</v>
      </c>
      <c r="S27" s="198" t="n">
        <v>8866.97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7</v>
      </c>
      <c r="J28" s="165" t="n">
        <v>7</v>
      </c>
      <c r="K28" s="166" t="n">
        <v>6464.75</v>
      </c>
      <c r="L28" s="166" t="n">
        <f aca="false">M28+N28</f>
        <v>5888.45</v>
      </c>
      <c r="M28" s="166" t="n">
        <f aca="false">3126.95+2209.2+552.3</f>
        <v>5888.45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37943.5+552.3+276.15</f>
        <v>38771.95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4</v>
      </c>
      <c r="J30" s="165" t="n">
        <v>4</v>
      </c>
      <c r="K30" s="166" t="n">
        <v>10921.8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11</v>
      </c>
      <c r="P30" s="166" t="n">
        <v>72242.1</v>
      </c>
      <c r="Q30" s="166" t="n">
        <f aca="false">R30+S30</f>
        <v>46595.9</v>
      </c>
      <c r="R30" s="166" t="n">
        <f aca="false">44754.9+1841</f>
        <v>46595.9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12</v>
      </c>
      <c r="I33" s="160" t="n">
        <v>5</v>
      </c>
      <c r="J33" s="160" t="n">
        <v>6</v>
      </c>
      <c r="K33" s="161" t="n">
        <v>13109.76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5</v>
      </c>
      <c r="J34" s="165" t="n">
        <v>5</v>
      </c>
      <c r="K34" s="166" t="n">
        <v>13175.94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4</v>
      </c>
      <c r="J35" s="148" t="n">
        <v>4</v>
      </c>
      <c r="K35" s="149" t="n">
        <v>5239.19</v>
      </c>
      <c r="L35" s="149" t="n">
        <f aca="false">M35+N35</f>
        <v>2549.79</v>
      </c>
      <c r="M35" s="149"/>
      <c r="N35" s="150" t="n">
        <v>2549.79</v>
      </c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17</v>
      </c>
      <c r="J37" s="160" t="n">
        <v>18</v>
      </c>
      <c r="K37" s="161" t="n">
        <v>29471.25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28</v>
      </c>
      <c r="I43" s="160" t="n">
        <v>24</v>
      </c>
      <c r="J43" s="160" t="n">
        <v>31</v>
      </c>
      <c r="K43" s="161" t="n">
        <v>57240.1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38763.49</v>
      </c>
      <c r="R46" s="166" t="n">
        <f aca="false">19654.4+16319.08+212.61+2577.4</f>
        <v>38763.49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2</v>
      </c>
      <c r="J47" s="148" t="n">
        <v>2</v>
      </c>
      <c r="K47" s="149" t="n">
        <v>6630.21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12</v>
      </c>
      <c r="I48" s="154" t="n">
        <v>7</v>
      </c>
      <c r="J48" s="154" t="n">
        <v>7</v>
      </c>
      <c r="K48" s="155" t="n">
        <v>17101.85</v>
      </c>
      <c r="L48" s="155" t="n">
        <f aca="false">M48+N48</f>
        <v>11721.05</v>
      </c>
      <c r="M48" s="155" t="n">
        <f aca="false">5885.08+1104.6+3313.8+1417.57</f>
        <v>11721.05</v>
      </c>
      <c r="N48" s="156"/>
      <c r="O48" s="157" t="n">
        <v>9</v>
      </c>
      <c r="P48" s="155" t="n">
        <v>18952.33</v>
      </c>
      <c r="Q48" s="155" t="n">
        <f aca="false">R48+S48</f>
        <v>23738.93</v>
      </c>
      <c r="R48" s="155" t="n">
        <f aca="false">16697.1+966.53+1288.7+2945.6+1841</f>
        <v>23738.93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5</v>
      </c>
      <c r="J51" s="160" t="n">
        <v>9</v>
      </c>
      <c r="K51" s="161" t="n">
        <v>12825.23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62</v>
      </c>
      <c r="I53" s="148" t="n">
        <v>57</v>
      </c>
      <c r="J53" s="148" t="n">
        <v>60</v>
      </c>
      <c r="K53" s="149" t="n">
        <v>89001.18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42</v>
      </c>
      <c r="I55" s="160" t="n">
        <v>38</v>
      </c>
      <c r="J55" s="160" t="n">
        <v>54</v>
      </c>
      <c r="K55" s="161" t="n">
        <v>95558.54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13</v>
      </c>
      <c r="I57" s="160" t="n">
        <v>10</v>
      </c>
      <c r="J57" s="160" t="n">
        <v>13</v>
      </c>
      <c r="K57" s="161" t="n">
        <v>32371.46</v>
      </c>
      <c r="L57" s="161" t="n">
        <f aca="false">M57+N57</f>
        <v>7518.67</v>
      </c>
      <c r="M57" s="161" t="n">
        <v>2654.28</v>
      </c>
      <c r="N57" s="190" t="n">
        <v>4864.39</v>
      </c>
      <c r="O57" s="163" t="n">
        <v>4</v>
      </c>
      <c r="P57" s="161" t="n">
        <v>20218.72</v>
      </c>
      <c r="Q57" s="161" t="n">
        <f aca="false">R57+S57</f>
        <v>20218.72</v>
      </c>
      <c r="R57" s="161" t="n">
        <v>18745.92</v>
      </c>
      <c r="S57" s="190" t="n">
        <v>1472.8</v>
      </c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7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11</v>
      </c>
      <c r="P58" s="166" t="n">
        <v>33429.49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10</v>
      </c>
      <c r="I59" s="148" t="n">
        <v>7</v>
      </c>
      <c r="J59" s="148" t="n">
        <v>10</v>
      </c>
      <c r="K59" s="149" t="n">
        <v>27453.29</v>
      </c>
      <c r="L59" s="149" t="n">
        <f aca="false">M59+N59</f>
        <v>22291.35</v>
      </c>
      <c r="M59" s="149" t="n">
        <v>22291.35</v>
      </c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16</v>
      </c>
      <c r="I61" s="160" t="n">
        <v>1</v>
      </c>
      <c r="J61" s="160" t="n">
        <v>1</v>
      </c>
      <c r="K61" s="161" t="n">
        <v>384.2</v>
      </c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8468.6</v>
      </c>
      <c r="M62" s="166" t="n">
        <f aca="false">5523+1104.6+1288.7+552.3</f>
        <v>8468.6</v>
      </c>
      <c r="N62" s="156"/>
      <c r="O62" s="168" t="n">
        <v>10</v>
      </c>
      <c r="P62" s="166" t="n">
        <v>4249</v>
      </c>
      <c r="Q62" s="166" t="n">
        <f aca="false">R62+S62</f>
        <v>15663.2</v>
      </c>
      <c r="R62" s="166" t="n">
        <f aca="false">4249+11414.2</f>
        <v>15663.2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11</v>
      </c>
      <c r="I63" s="148" t="n">
        <v>6</v>
      </c>
      <c r="J63" s="148" t="n">
        <v>6</v>
      </c>
      <c r="K63" s="149" t="n">
        <v>3278.24</v>
      </c>
      <c r="L63" s="149" t="n">
        <f aca="false">M63+N63</f>
        <v>2154.14</v>
      </c>
      <c r="M63" s="149" t="n">
        <v>881</v>
      </c>
      <c r="N63" s="190" t="n">
        <v>1273.14</v>
      </c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9</v>
      </c>
      <c r="I64" s="154" t="n">
        <v>5</v>
      </c>
      <c r="J64" s="154" t="n">
        <v>5</v>
      </c>
      <c r="K64" s="155" t="n">
        <v>7403.15</v>
      </c>
      <c r="L64" s="155" t="n">
        <f aca="false">M64+N64</f>
        <v>7403.15</v>
      </c>
      <c r="M64" s="155" t="n">
        <f aca="false">5286+1564.85+552.3</f>
        <v>7403.15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10</v>
      </c>
      <c r="J67" s="148" t="n">
        <v>14</v>
      </c>
      <c r="K67" s="149" t="n">
        <v>29586.56</v>
      </c>
      <c r="L67" s="149" t="n">
        <f aca="false">M67+N67</f>
        <v>22953.9</v>
      </c>
      <c r="M67" s="149" t="n">
        <v>3717.82</v>
      </c>
      <c r="N67" s="190" t="n">
        <v>19236.08</v>
      </c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12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16</v>
      </c>
      <c r="I69" s="160" t="n">
        <v>12</v>
      </c>
      <c r="J69" s="160" t="n">
        <v>18</v>
      </c>
      <c r="K69" s="161" t="n">
        <v>30473.91</v>
      </c>
      <c r="L69" s="161" t="n">
        <f aca="false">M69+N69</f>
        <v>24253.38</v>
      </c>
      <c r="M69" s="161" t="n">
        <v>21739.72</v>
      </c>
      <c r="N69" s="190" t="n">
        <v>2513.66</v>
      </c>
      <c r="O69" s="163" t="n">
        <v>12</v>
      </c>
      <c r="P69" s="161" t="n">
        <v>66383.26</v>
      </c>
      <c r="Q69" s="161" t="n">
        <f aca="false">R69+S69</f>
        <v>64116.78</v>
      </c>
      <c r="R69" s="161" t="n">
        <v>62059.28</v>
      </c>
      <c r="S69" s="190" t="n">
        <v>2057.5</v>
      </c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34</v>
      </c>
      <c r="I71" s="148" t="n">
        <v>26</v>
      </c>
      <c r="J71" s="148" t="n">
        <v>36</v>
      </c>
      <c r="K71" s="149" t="n">
        <v>75290.63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41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 t="n">
        <v>2</v>
      </c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7</v>
      </c>
      <c r="I76" s="154" t="n">
        <v>2</v>
      </c>
      <c r="J76" s="154" t="n">
        <v>2</v>
      </c>
      <c r="K76" s="155" t="n">
        <v>5707.1</v>
      </c>
      <c r="L76" s="155" t="n">
        <f aca="false">M76+N76</f>
        <v>5707.1</v>
      </c>
      <c r="M76" s="155" t="n">
        <f aca="false">2577.4+3129.7</f>
        <v>5707.1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6</v>
      </c>
      <c r="J79" s="148" t="n">
        <v>6</v>
      </c>
      <c r="K79" s="149" t="n">
        <v>6511.48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21</v>
      </c>
      <c r="I81" s="148" t="n">
        <v>11</v>
      </c>
      <c r="J81" s="148" t="n">
        <v>11</v>
      </c>
      <c r="K81" s="149" t="n">
        <v>45671.29</v>
      </c>
      <c r="L81" s="149" t="n">
        <f aca="false">M81+N81</f>
        <v>32053.43</v>
      </c>
      <c r="M81" s="149" t="n">
        <v>24732.4</v>
      </c>
      <c r="N81" s="190" t="n">
        <v>7321.03</v>
      </c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7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5</v>
      </c>
      <c r="P83" s="161" t="n">
        <v>56187.23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6037</v>
      </c>
      <c r="R84" s="166" t="n">
        <f aca="false">2907.3+1841+1288.7</f>
        <v>6037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5</v>
      </c>
      <c r="J85" s="148" t="n">
        <v>6</v>
      </c>
      <c r="K85" s="149" t="n">
        <v>8371.38</v>
      </c>
      <c r="L85" s="149" t="n">
        <f aca="false">M85+N85</f>
        <v>5720.34</v>
      </c>
      <c r="M85" s="149" t="n">
        <v>5720.34</v>
      </c>
      <c r="N85" s="190"/>
      <c r="O85" s="151" t="n">
        <v>12</v>
      </c>
      <c r="P85" s="149" t="n">
        <v>42053.1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1841+1656.9</f>
        <v>3497.9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18</v>
      </c>
      <c r="I89" s="148" t="n">
        <v>10</v>
      </c>
      <c r="J89" s="148" t="n">
        <v>13</v>
      </c>
      <c r="K89" s="149" t="n">
        <v>24006.42</v>
      </c>
      <c r="L89" s="149" t="n">
        <f aca="false">M89+N89</f>
        <v>8723.07</v>
      </c>
      <c r="M89" s="149" t="n">
        <v>8723.07</v>
      </c>
      <c r="N89" s="190"/>
      <c r="O89" s="151" t="n">
        <v>15</v>
      </c>
      <c r="P89" s="149" t="n">
        <v>54237.55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41</v>
      </c>
      <c r="I90" s="165" t="n">
        <v>40</v>
      </c>
      <c r="J90" s="165" t="n">
        <v>40</v>
      </c>
      <c r="K90" s="166" t="n">
        <v>46304.7</v>
      </c>
      <c r="L90" s="166" t="n">
        <v>46304.7</v>
      </c>
      <c r="M90" s="166" t="n">
        <v>46304.7</v>
      </c>
      <c r="N90" s="156"/>
      <c r="O90" s="168" t="n">
        <v>41</v>
      </c>
      <c r="P90" s="166" t="n">
        <v>93370.07</v>
      </c>
      <c r="Q90" s="166" t="n">
        <v>93370.07</v>
      </c>
      <c r="R90" s="166" t="n">
        <v>93370.07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11</v>
      </c>
      <c r="I91" s="148" t="n">
        <v>8</v>
      </c>
      <c r="J91" s="148" t="n">
        <v>10</v>
      </c>
      <c r="K91" s="149" t="n">
        <v>14299.39</v>
      </c>
      <c r="L91" s="149" t="n">
        <f aca="false">M91+N91</f>
        <v>10742.58</v>
      </c>
      <c r="M91" s="149" t="n">
        <v>7056.9</v>
      </c>
      <c r="N91" s="190" t="n">
        <v>3685.68</v>
      </c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12</v>
      </c>
      <c r="J93" s="148" t="n">
        <v>16</v>
      </c>
      <c r="K93" s="149" t="n">
        <v>34174.37</v>
      </c>
      <c r="L93" s="149" t="n">
        <f aca="false">M93+N93</f>
        <v>28957.76</v>
      </c>
      <c r="M93" s="149" t="n">
        <v>17007.72</v>
      </c>
      <c r="N93" s="190" t="n">
        <v>11950.04</v>
      </c>
      <c r="O93" s="151" t="n">
        <v>17</v>
      </c>
      <c r="P93" s="149" t="n">
        <v>56917.37</v>
      </c>
      <c r="Q93" s="149" t="n">
        <f aca="false">R93+S93</f>
        <v>56917.37</v>
      </c>
      <c r="R93" s="149" t="n">
        <v>48957.86</v>
      </c>
      <c r="S93" s="190" t="n">
        <v>7959.51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8812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10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13</v>
      </c>
      <c r="I97" s="160" t="n">
        <v>11</v>
      </c>
      <c r="J97" s="160" t="n">
        <v>16</v>
      </c>
      <c r="K97" s="161" t="n">
        <v>26173.65</v>
      </c>
      <c r="L97" s="161" t="n">
        <f aca="false">M97+N97</f>
        <v>22159.57</v>
      </c>
      <c r="M97" s="161" t="n">
        <v>11231.55</v>
      </c>
      <c r="N97" s="190" t="n">
        <v>10928.02</v>
      </c>
      <c r="O97" s="163" t="n">
        <v>9</v>
      </c>
      <c r="P97" s="161" t="n">
        <v>62858.94</v>
      </c>
      <c r="Q97" s="161" t="n">
        <f aca="false">R97+S97</f>
        <v>62858.94</v>
      </c>
      <c r="R97" s="161" t="n">
        <v>51100.74</v>
      </c>
      <c r="S97" s="190" t="n">
        <v>11758.2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8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7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11448.19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4</v>
      </c>
      <c r="J100" s="154" t="n">
        <v>4</v>
      </c>
      <c r="K100" s="155" t="n">
        <v>14343.3</v>
      </c>
      <c r="L100" s="155" t="n">
        <f aca="false">M100+N100</f>
        <v>12581.3</v>
      </c>
      <c r="M100" s="155" t="n">
        <f aca="false">10924.4+1656.9</f>
        <v>12581.3</v>
      </c>
      <c r="N100" s="156"/>
      <c r="O100" s="157" t="n">
        <v>3</v>
      </c>
      <c r="P100" s="155" t="s">
        <v>303</v>
      </c>
      <c r="Q100" s="155" t="n">
        <f aca="false">R100+S100</f>
        <v>9494.2</v>
      </c>
      <c r="R100" s="155" t="n">
        <f aca="false">1762+7732.2</f>
        <v>9494.2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39</v>
      </c>
      <c r="I101" s="160" t="n">
        <v>33</v>
      </c>
      <c r="J101" s="160" t="n">
        <v>37</v>
      </c>
      <c r="K101" s="161" t="n">
        <v>73327.75</v>
      </c>
      <c r="L101" s="161" t="n">
        <f aca="false">M101+N101</f>
        <v>50881.45</v>
      </c>
      <c r="M101" s="161" t="n">
        <v>50881.45</v>
      </c>
      <c r="N101" s="190"/>
      <c r="O101" s="163" t="n">
        <v>27</v>
      </c>
      <c r="P101" s="161" t="n">
        <v>156948.15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30217.9</v>
      </c>
      <c r="R102" s="166" t="n">
        <f aca="false">21936.9+1233.4+5758.9+1288.7</f>
        <v>30217.9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26</v>
      </c>
      <c r="I103" s="148" t="n">
        <v>21</v>
      </c>
      <c r="J103" s="148" t="n">
        <v>21</v>
      </c>
      <c r="K103" s="149" t="n">
        <v>23495.77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4</v>
      </c>
      <c r="P103" s="149" t="n">
        <v>22149.17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18571.85</v>
      </c>
      <c r="R104" s="165" t="n">
        <f aca="false">9735.05+8836.8</f>
        <v>18571.85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14</v>
      </c>
      <c r="I105" s="148" t="n">
        <v>13</v>
      </c>
      <c r="J105" s="148" t="n">
        <v>15</v>
      </c>
      <c r="K105" s="149" t="n">
        <v>13604.58</v>
      </c>
      <c r="L105" s="149" t="n">
        <f aca="false">M105+N105</f>
        <v>11054.79</v>
      </c>
      <c r="M105" s="149" t="n">
        <v>11054.79</v>
      </c>
      <c r="N105" s="190"/>
      <c r="O105" s="151" t="n">
        <v>12</v>
      </c>
      <c r="P105" s="149" t="n">
        <v>66472.81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10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12</v>
      </c>
      <c r="I108" s="160" t="n">
        <v>8</v>
      </c>
      <c r="J108" s="160" t="n">
        <v>10</v>
      </c>
      <c r="K108" s="161" t="n">
        <v>19070.63</v>
      </c>
      <c r="L108" s="161" t="n">
        <f aca="false">M108+N108</f>
        <v>13195.1</v>
      </c>
      <c r="M108" s="161" t="n">
        <v>11123.42</v>
      </c>
      <c r="N108" s="190" t="n">
        <v>2071.68</v>
      </c>
      <c r="O108" s="163" t="n">
        <v>12</v>
      </c>
      <c r="P108" s="161" t="n">
        <v>43029.23</v>
      </c>
      <c r="Q108" s="161" t="n">
        <f aca="false">R108+S108</f>
        <v>40146.74</v>
      </c>
      <c r="R108" s="161" t="n">
        <v>35453.78</v>
      </c>
      <c r="S108" s="190" t="n">
        <v>4692.96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13</v>
      </c>
      <c r="I110" s="148" t="n">
        <v>9</v>
      </c>
      <c r="J110" s="148" t="n">
        <v>10</v>
      </c>
      <c r="K110" s="149" t="n">
        <v>12245.21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35</v>
      </c>
      <c r="I112" s="148" t="n">
        <v>33</v>
      </c>
      <c r="J112" s="148" t="n">
        <v>43</v>
      </c>
      <c r="K112" s="149" t="n">
        <v>63605.74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9</v>
      </c>
      <c r="I113" s="165" t="n">
        <v>7</v>
      </c>
      <c r="J113" s="165" t="n">
        <v>7</v>
      </c>
      <c r="K113" s="166" t="n">
        <v>18550.85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/>
      <c r="N114" s="190" t="n">
        <v>386.61</v>
      </c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17</v>
      </c>
      <c r="I116" s="160" t="n">
        <v>11</v>
      </c>
      <c r="J116" s="160" t="n">
        <v>12</v>
      </c>
      <c r="K116" s="161" t="n">
        <v>14095.27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 t="n">
        <f aca="false">8100.4</f>
        <v>8100.4</v>
      </c>
      <c r="N117" s="156"/>
      <c r="O117" s="157" t="n">
        <v>9</v>
      </c>
      <c r="P117" s="155" t="n">
        <v>22553.6</v>
      </c>
      <c r="Q117" s="155" t="n">
        <f aca="false">R117+S117</f>
        <v>27156.1</v>
      </c>
      <c r="R117" s="155" t="n">
        <f aca="false">528.6+22025+4602.5</f>
        <v>27156.1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37</v>
      </c>
      <c r="I118" s="160" t="n">
        <v>30</v>
      </c>
      <c r="J118" s="160" t="n">
        <v>44</v>
      </c>
      <c r="K118" s="161" t="n">
        <v>84289.44</v>
      </c>
      <c r="L118" s="161" t="n">
        <f aca="false">M118+N118</f>
        <v>46541.91</v>
      </c>
      <c r="M118" s="161" t="n">
        <v>46541.91</v>
      </c>
      <c r="N118" s="190"/>
      <c r="O118" s="163" t="n">
        <v>30</v>
      </c>
      <c r="P118" s="161" t="n">
        <v>58377.09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47</v>
      </c>
      <c r="I122" s="148" t="n">
        <v>36</v>
      </c>
      <c r="J122" s="148" t="n">
        <v>45</v>
      </c>
      <c r="K122" s="149" t="n">
        <v>58923.01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27273.72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29</v>
      </c>
      <c r="I123" s="165" t="n">
        <v>19</v>
      </c>
      <c r="J123" s="165" t="n">
        <v>19</v>
      </c>
      <c r="K123" s="166" t="n">
        <v>21121.69</v>
      </c>
      <c r="L123" s="166" t="n">
        <v>21121.69</v>
      </c>
      <c r="M123" s="166" t="n">
        <v>21121.69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34</v>
      </c>
      <c r="I124" s="148" t="n">
        <v>25</v>
      </c>
      <c r="J124" s="148" t="n">
        <v>34</v>
      </c>
      <c r="K124" s="149" t="n">
        <v>143177.24</v>
      </c>
      <c r="L124" s="149" t="n">
        <f aca="false">M124+N124</f>
        <v>78634.92</v>
      </c>
      <c r="M124" s="149" t="n">
        <v>78634.92</v>
      </c>
      <c r="N124" s="190"/>
      <c r="O124" s="151" t="n">
        <v>24</v>
      </c>
      <c r="P124" s="149" t="n">
        <v>86775.94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46</v>
      </c>
      <c r="I126" s="160" t="n">
        <v>30</v>
      </c>
      <c r="J126" s="160" t="n">
        <v>32</v>
      </c>
      <c r="K126" s="161" t="n">
        <v>136346.41</v>
      </c>
      <c r="L126" s="161" t="n">
        <f aca="false">M126+N126</f>
        <v>33685.02</v>
      </c>
      <c r="M126" s="161" t="n">
        <v>33685.02</v>
      </c>
      <c r="N126" s="190"/>
      <c r="O126" s="163" t="n">
        <v>24</v>
      </c>
      <c r="P126" s="161" t="n">
        <v>180548.83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12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10</v>
      </c>
      <c r="P131" s="161" t="n">
        <v>26604.95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16749.33</v>
      </c>
      <c r="R132" s="155" t="n">
        <f aca="false">1585.8+1585.8+6070.83+5041.6+2465.3</f>
        <v>16749.33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8</v>
      </c>
      <c r="J133" s="192" t="n">
        <v>8</v>
      </c>
      <c r="K133" s="161" t="n">
        <v>11316.44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40</v>
      </c>
      <c r="I137" s="148" t="n">
        <v>32</v>
      </c>
      <c r="J137" s="148" t="n">
        <v>44</v>
      </c>
      <c r="K137" s="149" t="n">
        <v>112362.97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20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22</v>
      </c>
      <c r="J142" s="160" t="n">
        <v>24</v>
      </c>
      <c r="K142" s="161" t="n">
        <v>15732.83</v>
      </c>
      <c r="L142" s="161" t="n">
        <f aca="false">M142+N142</f>
        <v>11923.35</v>
      </c>
      <c r="M142" s="161" t="n">
        <v>11923.35</v>
      </c>
      <c r="N142" s="190"/>
      <c r="O142" s="163" t="n">
        <v>25</v>
      </c>
      <c r="P142" s="161" t="n">
        <v>56744.77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20</v>
      </c>
      <c r="I143" s="181" t="n">
        <v>8</v>
      </c>
      <c r="J143" s="181" t="n">
        <v>8</v>
      </c>
      <c r="K143" s="182" t="n">
        <v>8314.95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10</v>
      </c>
      <c r="I145" s="148" t="n">
        <v>8</v>
      </c>
      <c r="J145" s="148" t="n">
        <v>9</v>
      </c>
      <c r="K145" s="149" t="n">
        <v>9311.73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28</v>
      </c>
      <c r="I147" s="160" t="n">
        <v>22</v>
      </c>
      <c r="J147" s="160" t="n">
        <v>23</v>
      </c>
      <c r="K147" s="161" t="n">
        <v>29062.09</v>
      </c>
      <c r="L147" s="161" t="n">
        <f aca="false">M147+N147</f>
        <v>21127.38</v>
      </c>
      <c r="M147" s="161" t="n">
        <v>21127.38</v>
      </c>
      <c r="N147" s="190"/>
      <c r="O147" s="163" t="n">
        <v>10</v>
      </c>
      <c r="P147" s="161" t="n">
        <v>36383.86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9</v>
      </c>
      <c r="I148" s="165" t="n">
        <v>2</v>
      </c>
      <c r="J148" s="165" t="n">
        <v>2</v>
      </c>
      <c r="K148" s="166" t="n">
        <v>7400.4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9</v>
      </c>
      <c r="I149" s="148" t="n">
        <v>7</v>
      </c>
      <c r="J149" s="148" t="n">
        <v>11</v>
      </c>
      <c r="K149" s="149" t="n">
        <v>28487.04</v>
      </c>
      <c r="L149" s="149" t="n">
        <f aca="false">M149+N149</f>
        <v>12426.72</v>
      </c>
      <c r="M149" s="149" t="n">
        <v>8028.11</v>
      </c>
      <c r="N149" s="190" t="n">
        <v>4398.61</v>
      </c>
      <c r="O149" s="151" t="n">
        <v>13</v>
      </c>
      <c r="P149" s="149" t="n">
        <v>70014.67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8</v>
      </c>
      <c r="P150" s="166" t="n">
        <v>28265.8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4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1834.44</v>
      </c>
      <c r="M151" s="149"/>
      <c r="N151" s="224" t="n">
        <v>1834.44</v>
      </c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6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3534.72</v>
      </c>
      <c r="M152" s="155" t="n">
        <f aca="false">2430.12+1104.6</f>
        <v>3534.72</v>
      </c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2</v>
      </c>
      <c r="J153" s="160" t="n">
        <v>2</v>
      </c>
      <c r="K153" s="161" t="n">
        <v>22424.13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 t="n">
        <v>2</v>
      </c>
      <c r="J155" s="148" t="n">
        <v>2</v>
      </c>
      <c r="K155" s="149" t="n">
        <v>7305.59</v>
      </c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6</v>
      </c>
      <c r="J157" s="160" t="n">
        <v>7</v>
      </c>
      <c r="K157" s="161" t="n">
        <v>17193.36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8</v>
      </c>
      <c r="P158" s="166" t="n">
        <v>23645.16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17</v>
      </c>
      <c r="I159" s="148" t="n">
        <v>16</v>
      </c>
      <c r="J159" s="148" t="n">
        <v>21</v>
      </c>
      <c r="K159" s="149" t="n">
        <v>45710.62</v>
      </c>
      <c r="L159" s="149" t="n">
        <f aca="false">M159+N159</f>
        <v>21755.92</v>
      </c>
      <c r="M159" s="149" t="n">
        <v>21755.92</v>
      </c>
      <c r="N159" s="190"/>
      <c r="O159" s="151" t="n">
        <v>25</v>
      </c>
      <c r="P159" s="149" t="n">
        <v>59355.48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9</v>
      </c>
      <c r="J160" s="165" t="n">
        <v>9</v>
      </c>
      <c r="K160" s="166" t="n">
        <v>30395.78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18</v>
      </c>
      <c r="P160" s="155" t="n">
        <v>73281.66</v>
      </c>
      <c r="Q160" s="155" t="n">
        <f aca="false">R160+S160</f>
        <v>74699.23</v>
      </c>
      <c r="R160" s="155" t="n">
        <f aca="false">66838.16+5891.2+552.3+1417.57</f>
        <v>74699.23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32</v>
      </c>
      <c r="I161" s="148" t="n">
        <v>30</v>
      </c>
      <c r="J161" s="193" t="n">
        <v>37</v>
      </c>
      <c r="K161" s="149" t="n">
        <v>56470.67</v>
      </c>
      <c r="L161" s="149" t="n">
        <f aca="false">M161+N161</f>
        <v>37553.38</v>
      </c>
      <c r="M161" s="149" t="n">
        <v>37553.38</v>
      </c>
      <c r="N161" s="190"/>
      <c r="O161" s="163" t="n">
        <v>23</v>
      </c>
      <c r="P161" s="161" t="n">
        <v>149467.91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5</v>
      </c>
      <c r="J162" s="165" t="n">
        <v>3</v>
      </c>
      <c r="K162" s="166" t="n">
        <v>12137.2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31</v>
      </c>
      <c r="I165" s="160" t="n">
        <v>30</v>
      </c>
      <c r="J165" s="160" t="n">
        <v>45</v>
      </c>
      <c r="K165" s="140" t="n">
        <v>108625.49</v>
      </c>
      <c r="L165" s="140" t="n">
        <f aca="false">M165+N165</f>
        <v>79081.21</v>
      </c>
      <c r="M165" s="140" t="n">
        <v>71945.49</v>
      </c>
      <c r="N165" s="190" t="n">
        <v>7135.72</v>
      </c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29719.69</v>
      </c>
      <c r="S165" s="190" t="n">
        <v>2761.5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18</v>
      </c>
      <c r="I167" s="148" t="n">
        <v>15</v>
      </c>
      <c r="J167" s="148" t="n">
        <v>22</v>
      </c>
      <c r="K167" s="149" t="n">
        <v>59114.72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5797.48</v>
      </c>
      <c r="Q169" s="161" t="n">
        <f aca="false">R169+S169</f>
        <v>5797.48</v>
      </c>
      <c r="R169" s="161" t="n">
        <v>5797.48</v>
      </c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6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28</v>
      </c>
      <c r="I173" s="160" t="n">
        <v>25</v>
      </c>
      <c r="J173" s="160" t="n">
        <v>30</v>
      </c>
      <c r="K173" s="161" t="n">
        <v>62529.72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6</v>
      </c>
      <c r="I174" s="154" t="n">
        <v>4</v>
      </c>
      <c r="J174" s="154" t="n">
        <v>4</v>
      </c>
      <c r="K174" s="155" t="n">
        <v>8512.9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29</v>
      </c>
      <c r="I175" s="160" t="n">
        <v>22</v>
      </c>
      <c r="J175" s="160" t="n">
        <v>30</v>
      </c>
      <c r="K175" s="161" t="n">
        <v>36477.65</v>
      </c>
      <c r="L175" s="161" t="n">
        <f aca="false">M175+N175</f>
        <v>15676.78</v>
      </c>
      <c r="M175" s="161" t="n">
        <v>15676.78</v>
      </c>
      <c r="N175" s="190"/>
      <c r="O175" s="163" t="n">
        <v>24</v>
      </c>
      <c r="P175" s="161" t="n">
        <v>63326.02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5063.02</v>
      </c>
      <c r="M176" s="166" t="n">
        <f aca="false">1585.8+2924.92+552.3</f>
        <v>5063.02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17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12430.95</v>
      </c>
      <c r="R181" s="166" t="n">
        <f aca="false">1762+1278.41+2862.29+1189.35+1288.7+4050.2</f>
        <v>12430.95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11276.8+2945.6</f>
        <v>14222.4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2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/>
      <c r="N188" s="190" t="n">
        <v>649.87</v>
      </c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8</v>
      </c>
      <c r="I189" s="200" t="n">
        <v>6</v>
      </c>
      <c r="J189" s="200" t="n">
        <v>6</v>
      </c>
      <c r="K189" s="201" t="n">
        <v>11966.96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8689.1</v>
      </c>
      <c r="R190" s="161" t="n">
        <v>7400.4</v>
      </c>
      <c r="S190" s="190" t="n">
        <v>1288.7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48</v>
      </c>
      <c r="I192" s="148" t="n">
        <v>44</v>
      </c>
      <c r="J192" s="148" t="n">
        <v>67</v>
      </c>
      <c r="K192" s="149" t="n">
        <v>109652.45</v>
      </c>
      <c r="L192" s="149" t="n">
        <f aca="false">M192+N192</f>
        <v>89688.59</v>
      </c>
      <c r="M192" s="149" t="n">
        <v>89688.59</v>
      </c>
      <c r="N192" s="190"/>
      <c r="O192" s="151" t="n">
        <v>38</v>
      </c>
      <c r="P192" s="149" t="n">
        <v>139570.66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13</v>
      </c>
      <c r="I194" s="160" t="n">
        <v>11</v>
      </c>
      <c r="J194" s="160" t="n">
        <v>11</v>
      </c>
      <c r="K194" s="161" t="n">
        <v>8243.76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7</v>
      </c>
      <c r="J195" s="165" t="n">
        <v>7</v>
      </c>
      <c r="K195" s="166" t="n">
        <v>12518.8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30</v>
      </c>
      <c r="I196" s="148" t="n">
        <v>21</v>
      </c>
      <c r="J196" s="148" t="n">
        <v>25</v>
      </c>
      <c r="K196" s="149" t="n">
        <v>41315.53</v>
      </c>
      <c r="L196" s="149" t="n">
        <f aca="false">M196+N196</f>
        <v>27094.04</v>
      </c>
      <c r="M196" s="149" t="n">
        <v>27094.04</v>
      </c>
      <c r="N196" s="190"/>
      <c r="O196" s="151" t="n">
        <v>14</v>
      </c>
      <c r="P196" s="149" t="n">
        <v>29562.2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66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63791.94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17</v>
      </c>
      <c r="I199" s="154" t="n">
        <v>12</v>
      </c>
      <c r="J199" s="154" t="n">
        <v>12</v>
      </c>
      <c r="K199" s="155" t="n">
        <v>13923.11</v>
      </c>
      <c r="L199" s="155" t="n">
        <v>13923.11</v>
      </c>
      <c r="M199" s="155" t="n">
        <v>13923.11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29</v>
      </c>
      <c r="I200" s="160" t="n">
        <v>22</v>
      </c>
      <c r="J200" s="160" t="n">
        <v>28</v>
      </c>
      <c r="K200" s="161" t="n">
        <v>70491.28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19</v>
      </c>
      <c r="J201" s="165" t="n">
        <v>19</v>
      </c>
      <c r="K201" s="166" t="n">
        <v>53959.63</v>
      </c>
      <c r="L201" s="166" t="n">
        <v>42312.93</v>
      </c>
      <c r="M201" s="166" t="n">
        <v>42312.93</v>
      </c>
      <c r="N201" s="156"/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36</v>
      </c>
      <c r="I202" s="148" t="n">
        <v>30</v>
      </c>
      <c r="J202" s="148" t="n">
        <v>38</v>
      </c>
      <c r="K202" s="149" t="n">
        <v>52095.62</v>
      </c>
      <c r="L202" s="149" t="n">
        <f aca="false">M202+N202</f>
        <v>23180.8</v>
      </c>
      <c r="M202" s="149" t="n">
        <v>23180.8</v>
      </c>
      <c r="N202" s="190"/>
      <c r="O202" s="151" t="n">
        <v>28</v>
      </c>
      <c r="P202" s="149" t="n">
        <v>117273.29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621.99</v>
      </c>
      <c r="M204" s="149"/>
      <c r="N204" s="190" t="n">
        <v>621.99</v>
      </c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19</v>
      </c>
      <c r="J208" s="160" t="n">
        <v>22</v>
      </c>
      <c r="K208" s="161" t="n">
        <v>25544.63</v>
      </c>
      <c r="L208" s="161" t="n">
        <f aca="false">M208+N208</f>
        <v>13026.32</v>
      </c>
      <c r="M208" s="161" t="n">
        <v>13026.32</v>
      </c>
      <c r="N208" s="190"/>
      <c r="O208" s="163" t="n">
        <v>9</v>
      </c>
      <c r="P208" s="161" t="n">
        <v>88573.81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8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14</v>
      </c>
      <c r="I210" s="148" t="n">
        <v>13</v>
      </c>
      <c r="J210" s="148" t="n">
        <v>23</v>
      </c>
      <c r="K210" s="149" t="n">
        <v>69022.94</v>
      </c>
      <c r="L210" s="149" t="n">
        <f aca="false">M210+N210</f>
        <v>55173.64</v>
      </c>
      <c r="M210" s="149" t="n">
        <v>55173.64</v>
      </c>
      <c r="N210" s="190"/>
      <c r="O210" s="151" t="n">
        <v>19</v>
      </c>
      <c r="P210" s="149" t="n">
        <v>176100.35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25</v>
      </c>
      <c r="I212" s="160" t="n">
        <v>19</v>
      </c>
      <c r="J212" s="160" t="n">
        <v>34</v>
      </c>
      <c r="K212" s="161" t="n">
        <v>72421.79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20592.86</v>
      </c>
      <c r="N214" s="190"/>
      <c r="O214" s="151" t="n">
        <v>3</v>
      </c>
      <c r="P214" s="149" t="n">
        <v>5504.35</v>
      </c>
      <c r="Q214" s="149" t="n">
        <f aca="false">R214+S214</f>
        <v>5504.35</v>
      </c>
      <c r="R214" s="149" t="n">
        <v>5504.35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6</v>
      </c>
      <c r="I215" s="165" t="n">
        <v>3</v>
      </c>
      <c r="J215" s="165" t="n">
        <v>3</v>
      </c>
      <c r="K215" s="166" t="n">
        <v>5526.59</v>
      </c>
      <c r="L215" s="166" t="n">
        <f aca="false">M215+N215</f>
        <v>3250.6</v>
      </c>
      <c r="M215" s="166" t="n">
        <f aca="false">1409.6+1841</f>
        <v>3250.6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1</v>
      </c>
      <c r="P216" s="149" t="n">
        <v>13019.26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6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10</v>
      </c>
      <c r="P217" s="166" t="n">
        <v>41813.62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28</v>
      </c>
      <c r="I218" s="148" t="n">
        <v>18</v>
      </c>
      <c r="J218" s="148" t="n">
        <v>25</v>
      </c>
      <c r="K218" s="149" t="n">
        <v>45421.07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14</v>
      </c>
      <c r="P218" s="149" t="n">
        <v>51085.65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6</v>
      </c>
      <c r="K219" s="155" t="n">
        <v>13233.97</v>
      </c>
      <c r="L219" s="155" t="n">
        <f aca="false">M219+N219</f>
        <v>12957.82</v>
      </c>
      <c r="M219" s="155" t="n">
        <f aca="false">3347.8+1288.7+5467.77+1841+1012.55</f>
        <v>12957.82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31</v>
      </c>
      <c r="I220" s="160" t="n">
        <v>17</v>
      </c>
      <c r="J220" s="160" t="n">
        <v>26</v>
      </c>
      <c r="K220" s="161" t="n">
        <v>50762.46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5593.75</v>
      </c>
      <c r="L221" s="166" t="n">
        <v>5593.75</v>
      </c>
      <c r="M221" s="166" t="n">
        <v>5593.75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13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6995.8+1288.7+5707.1+2945.6</f>
        <v>16937.2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3</v>
      </c>
      <c r="I224" s="148" t="n">
        <v>2</v>
      </c>
      <c r="J224" s="148" t="n">
        <v>2</v>
      </c>
      <c r="K224" s="149" t="n">
        <v>1370.33</v>
      </c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8</v>
      </c>
      <c r="I227" s="154" t="n">
        <v>6</v>
      </c>
      <c r="J227" s="154" t="n">
        <v>6</v>
      </c>
      <c r="K227" s="155" t="n">
        <v>15423.17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28</v>
      </c>
      <c r="I228" s="160" t="n">
        <v>25</v>
      </c>
      <c r="J228" s="160" t="n">
        <v>39</v>
      </c>
      <c r="K228" s="161" t="n">
        <v>60237.7</v>
      </c>
      <c r="L228" s="161" t="n">
        <f aca="false">M228+N228</f>
        <v>45981.11</v>
      </c>
      <c r="M228" s="161" t="n">
        <v>45981.11</v>
      </c>
      <c r="N228" s="190"/>
      <c r="O228" s="163" t="n">
        <v>13</v>
      </c>
      <c r="P228" s="161" t="n">
        <v>75282.64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 t="n">
        <f aca="false">552.3</f>
        <v>552.3</v>
      </c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9</v>
      </c>
      <c r="I230" s="148" t="n">
        <v>7</v>
      </c>
      <c r="J230" s="148" t="n">
        <v>8</v>
      </c>
      <c r="K230" s="149" t="n">
        <v>10552.9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7</v>
      </c>
      <c r="P232" s="161" t="n">
        <v>45328.43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6</v>
      </c>
      <c r="J233" s="165" t="n">
        <v>6</v>
      </c>
      <c r="K233" s="166" t="n">
        <v>16372.3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3171.6+2117.15+552.3</f>
        <v>5841.05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5</v>
      </c>
      <c r="J237" s="165" t="n">
        <v>5</v>
      </c>
      <c r="K237" s="166" t="n">
        <v>12611.85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12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18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4</v>
      </c>
      <c r="P242" s="149" t="n">
        <v>34331.68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7648.67</v>
      </c>
      <c r="N244" s="224" t="n">
        <v>5365.21</v>
      </c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4</v>
      </c>
      <c r="J245" s="154" t="n">
        <v>4</v>
      </c>
      <c r="K245" s="155" t="n">
        <v>6664.14</v>
      </c>
      <c r="L245" s="155" t="n">
        <v>4166.84</v>
      </c>
      <c r="M245" s="155" t="n">
        <v>4166.84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6</v>
      </c>
      <c r="P246" s="161" t="n">
        <v>21131.92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528.6+3700.2+1288.7+3497.9+2393.3+1288.7</f>
        <v>12697.4</v>
      </c>
      <c r="N247" s="167"/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2729</v>
      </c>
      <c r="I252" s="214" t="n">
        <f aca="false">SUM(I9:I251)</f>
        <v>1831</v>
      </c>
      <c r="J252" s="214" t="n">
        <f aca="false">SUM(J9:J251)</f>
        <v>2250</v>
      </c>
      <c r="K252" s="215" t="n">
        <f aca="false">SUM(K9:K251)</f>
        <v>4154463.68</v>
      </c>
      <c r="L252" s="215" t="n">
        <f aca="false">SUM(L9:L251)</f>
        <v>2895374.64</v>
      </c>
      <c r="M252" s="215" t="n">
        <f aca="false">SUM(M9:M251)</f>
        <v>2749821.71</v>
      </c>
      <c r="N252" s="243" t="n">
        <f aca="false">SUM(N9:N251)</f>
        <v>150626.76</v>
      </c>
      <c r="O252" s="244" t="n">
        <f aca="false">SUM(O9:O251)</f>
        <v>1264</v>
      </c>
      <c r="P252" s="245" t="n">
        <f aca="false">SUM(P9:P251)</f>
        <v>4823837.41</v>
      </c>
      <c r="Q252" s="245" t="n">
        <f aca="false">SUM(Q9:Q251)</f>
        <v>4291330.91</v>
      </c>
      <c r="R252" s="245" t="n">
        <f aca="false">SUM(R9:R251)</f>
        <v>4178858.74</v>
      </c>
      <c r="S252" s="246" t="n">
        <f aca="false">SUM(S9:S251)</f>
        <v>123426.12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1884</v>
      </c>
      <c r="H258" s="108" t="n">
        <f aca="false">SUMIF($G$9:$G$251,$F$258,I9:I251)</f>
        <v>1397</v>
      </c>
      <c r="I258" s="108" t="n">
        <f aca="false">SUMIF($G$9:$G$251,$F$258,J9:J251)</f>
        <v>1809</v>
      </c>
      <c r="J258" s="110" t="n">
        <f aca="false">SUMIF($G$9:$G$251,F258,$K$9:$K$251)</f>
        <v>3363745.75</v>
      </c>
      <c r="K258" s="110" t="n">
        <f aca="false">SUMIF($G$9:$G$251,$F$258,L9:L251)</f>
        <v>2243652.05</v>
      </c>
      <c r="L258" s="110" t="n">
        <f aca="false">SUMIF($G$9:$G$251,$F$258,M9:M251)</f>
        <v>2098104.62</v>
      </c>
      <c r="M258" s="110" t="n">
        <f aca="false">SUMIF($G$9:$G$251,$F$258,N9:N251)</f>
        <v>150626.76</v>
      </c>
      <c r="N258" s="108" t="n">
        <f aca="false">SUMIF($G$9:$G$251,$F$258,O9:O251)</f>
        <v>847</v>
      </c>
      <c r="O258" s="110" t="n">
        <f aca="false">SUMIF($G$9:$G$251,F258,$P$9:$P$251)</f>
        <v>3711813.93</v>
      </c>
      <c r="P258" s="110" t="n">
        <f aca="false">SUMIF($G$9:$G$251,$F$258,Q9:Q251)</f>
        <v>3153676.82</v>
      </c>
      <c r="Q258" s="110" t="n">
        <f aca="false">SUMIF($G$9:$G$251,$F$258,R9:R251)</f>
        <v>3030250.7</v>
      </c>
      <c r="R258" s="110" t="n">
        <f aca="false">SUMIF($G$9:$G$251,$F$258,S9:S251)</f>
        <v>123426.12</v>
      </c>
      <c r="S258" s="110" t="n">
        <f aca="false">Q258+L258</f>
        <v>5128355.32</v>
      </c>
      <c r="T258" s="111" t="n">
        <f aca="false">J258-L258+O258-Q258</f>
        <v>1947204.36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559</v>
      </c>
      <c r="H259" s="108" t="n">
        <f aca="false">SUMIF($G$9:$G$251,$F$259,I9:I251)</f>
        <v>255</v>
      </c>
      <c r="I259" s="108" t="n">
        <f aca="false">SUMIF($G$9:$G$251,$F$259,J9:J251)</f>
        <v>262</v>
      </c>
      <c r="J259" s="110" t="n">
        <f aca="false">SUMIF($G$9:$G$251,F259,$K$9:$K$251)</f>
        <v>539209.79</v>
      </c>
      <c r="K259" s="110" t="n">
        <f aca="false">SUMIF($G$9:$G$251,$F$259,L9:L251)</f>
        <v>417816.25</v>
      </c>
      <c r="L259" s="110" t="n">
        <f aca="false">SUMIF($G$9:$G$251,$F$259,M9:M251)</f>
        <v>417810.75</v>
      </c>
      <c r="M259" s="110" t="n">
        <f aca="false">SUMIF($G$9:$G$251,$F$259,N9:N251)</f>
        <v>0</v>
      </c>
      <c r="N259" s="108" t="n">
        <f aca="false">SUMIF($G$9:$G$251,$F$259,O9:O251)</f>
        <v>306</v>
      </c>
      <c r="O259" s="110" t="n">
        <f aca="false">SUMIF($G$9:$G$251,F259,$P$9:$P$251)</f>
        <v>868589.28</v>
      </c>
      <c r="P259" s="110" t="n">
        <f aca="false">SUMIF($G$9:$G$251,$F$259,Q9:Q251)</f>
        <v>894219.89</v>
      </c>
      <c r="Q259" s="110" t="n">
        <f aca="false">SUMIF($G$9:$G$251,$F$259,R9:R251)</f>
        <v>905173.84</v>
      </c>
      <c r="R259" s="110" t="n">
        <f aca="false">SUMIF($G$9:$G$251,$F$259,S9:S251)</f>
        <v>0</v>
      </c>
      <c r="S259" s="110" t="n">
        <f aca="false">Q259+L259</f>
        <v>1322984.59</v>
      </c>
      <c r="T259" s="111" t="n">
        <f aca="false">J259-L259+O259-Q259</f>
        <v>84814.48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286</v>
      </c>
      <c r="H260" s="108" t="n">
        <f aca="false">SUMIF($G$9:$G$251,$F$260,I9:I251)</f>
        <v>179</v>
      </c>
      <c r="I260" s="108" t="n">
        <f aca="false">SUMIF($G$9:$G$251,$F$260,J9:J251)</f>
        <v>179</v>
      </c>
      <c r="J260" s="110" t="n">
        <f aca="false">SUMIF($G$9:$G$251,F260,$K$9:$K$251)</f>
        <v>251508.14</v>
      </c>
      <c r="K260" s="110" t="n">
        <f aca="false">SUMIF($G$9:$G$251,$F$260,L9:L251)</f>
        <v>233906.34</v>
      </c>
      <c r="L260" s="110" t="n">
        <f aca="false">SUMIF($G$9:$G$251,$F$260,M9:M251)</f>
        <v>233906.34</v>
      </c>
      <c r="M260" s="110" t="n">
        <f aca="false">SUMIF($G$9:$G$251,$F$260,N9:N251)</f>
        <v>0</v>
      </c>
      <c r="N260" s="108" t="n">
        <f aca="false">SUMIF($G$9:$G$251,$F$260,O9:O251)</f>
        <v>111</v>
      </c>
      <c r="O260" s="110" t="n">
        <f aca="false">SUMIF($G$9:$G$251,F260,$P$9:$P$251)</f>
        <v>243434.2</v>
      </c>
      <c r="P260" s="110" t="n">
        <f aca="false">SUMIF($G$9:$G$251,$F$260,Q9:Q251)</f>
        <v>243434.2</v>
      </c>
      <c r="Q260" s="110" t="n">
        <f aca="false">SUMIF($G$9:$G$251,$F$260,R9:R251)</f>
        <v>243434.2</v>
      </c>
      <c r="R260" s="110" t="n">
        <f aca="false">SUMIF($G$9:$G$251,$F$260,S9:S251)</f>
        <v>0</v>
      </c>
      <c r="S260" s="110" t="n">
        <f aca="false">Q260+L260</f>
        <v>477340.54</v>
      </c>
      <c r="T260" s="111" t="n">
        <f aca="false">J260-L260+O260-Q260</f>
        <v>17601.8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2729</v>
      </c>
      <c r="H261" s="216" t="n">
        <f aca="false">H260+H259+H258</f>
        <v>1831</v>
      </c>
      <c r="I261" s="216" t="n">
        <f aca="false">I260+I259+I258</f>
        <v>2250</v>
      </c>
      <c r="J261" s="217" t="n">
        <f aca="false">J260+J259+J258</f>
        <v>4154463.68</v>
      </c>
      <c r="K261" s="217" t="n">
        <f aca="false">K260+K259+K258</f>
        <v>2895374.64</v>
      </c>
      <c r="L261" s="217" t="n">
        <f aca="false">L260+L259+L258</f>
        <v>2749821.71</v>
      </c>
      <c r="M261" s="217" t="n">
        <f aca="false">M260+M259+M258</f>
        <v>150626.76</v>
      </c>
      <c r="N261" s="216" t="n">
        <f aca="false">N260+N259+N258</f>
        <v>1264</v>
      </c>
      <c r="O261" s="217" t="n">
        <f aca="false">O260+O259+O258</f>
        <v>4823837.41</v>
      </c>
      <c r="P261" s="217" t="n">
        <f aca="false">P260+P259+P258</f>
        <v>4291330.91</v>
      </c>
      <c r="Q261" s="217" t="n">
        <f aca="false">Q260+Q259+Q258</f>
        <v>4178858.74</v>
      </c>
      <c r="R261" s="217" t="n">
        <f aca="false">R260+R259+R258</f>
        <v>123426.12</v>
      </c>
      <c r="S261" s="217" t="n">
        <f aca="false">S260+S259+S258</f>
        <v>6928680.45</v>
      </c>
      <c r="T261" s="217" t="n">
        <f aca="false">T260+T259+T258</f>
        <v>2049620.64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1860</v>
      </c>
      <c r="H322" s="247" t="n">
        <v>1303</v>
      </c>
      <c r="I322" s="247" t="n">
        <v>1678</v>
      </c>
      <c r="J322" s="0" t="n">
        <v>3095314.31</v>
      </c>
      <c r="K322" s="236"/>
      <c r="N322" s="0" t="n">
        <v>829</v>
      </c>
      <c r="O322" s="0" t="n">
        <v>3596525.59</v>
      </c>
    </row>
    <row r="323" customFormat="false" ht="15" hidden="false" customHeight="false" outlineLevel="0" collapsed="false">
      <c r="G323" s="221" t="n">
        <f aca="false">G258-G322</f>
        <v>24</v>
      </c>
      <c r="H323" s="221" t="n">
        <f aca="false">H258-H322</f>
        <v>94</v>
      </c>
      <c r="I323" s="221" t="n">
        <f aca="false">I258-I322</f>
        <v>131</v>
      </c>
      <c r="J323" s="229" t="n">
        <f aca="false">J258-J322</f>
        <v>268431.439999999</v>
      </c>
      <c r="K323" s="236"/>
      <c r="N323" s="221" t="n">
        <f aca="false">N258-N322</f>
        <v>18</v>
      </c>
      <c r="O323" s="229" t="n">
        <f aca="false">O258-O322</f>
        <v>115288.34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20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121"/>
      <c r="I9" s="23"/>
      <c r="J9" s="23"/>
      <c r="K9" s="24" t="n">
        <f aca="false">L9+M9</f>
        <v>0</v>
      </c>
      <c r="L9" s="24"/>
      <c r="M9" s="24"/>
      <c r="N9" s="23" t="n">
        <v>4</v>
      </c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115"/>
      <c r="I10" s="28"/>
      <c r="J10" s="28"/>
      <c r="K10" s="29" t="n">
        <f aca="false">L10+M10</f>
        <v>0</v>
      </c>
      <c r="L10" s="29"/>
      <c r="M10" s="30"/>
      <c r="N10" s="28" t="n">
        <v>1</v>
      </c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114" t="n">
        <v>5</v>
      </c>
      <c r="I11" s="39"/>
      <c r="J11" s="39"/>
      <c r="K11" s="40" t="n">
        <f aca="false">L11+M11</f>
        <v>0</v>
      </c>
      <c r="L11" s="40"/>
      <c r="M11" s="40"/>
      <c r="N11" s="39"/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115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114" t="n">
        <v>8</v>
      </c>
      <c r="I13" s="23" t="n">
        <v>6</v>
      </c>
      <c r="J13" s="23" t="n">
        <v>7</v>
      </c>
      <c r="K13" s="24" t="n">
        <f aca="false">L13+M13</f>
        <v>0</v>
      </c>
      <c r="L13" s="24"/>
      <c r="M13" s="24"/>
      <c r="N13" s="23"/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115"/>
      <c r="I14" s="28"/>
      <c r="J14" s="28"/>
      <c r="K14" s="29" t="n">
        <f aca="false">L14+M14</f>
        <v>0</v>
      </c>
      <c r="L14" s="29"/>
      <c r="M14" s="30"/>
      <c r="N14" s="28" t="n">
        <v>1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116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117" t="n">
        <v>2</v>
      </c>
      <c r="I16" s="45"/>
      <c r="J16" s="45"/>
      <c r="K16" s="46" t="n">
        <f aca="false">L16+M16</f>
        <v>0</v>
      </c>
      <c r="L16" s="46"/>
      <c r="M16" s="47"/>
      <c r="N16" s="45" t="n">
        <v>1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114" t="n">
        <v>4</v>
      </c>
      <c r="I17" s="23"/>
      <c r="J17" s="23"/>
      <c r="K17" s="24" t="n">
        <f aca="false">L17+M17</f>
        <v>0</v>
      </c>
      <c r="L17" s="24"/>
      <c r="M17" s="24"/>
      <c r="N17" s="23" t="n">
        <v>4</v>
      </c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117" t="n">
        <v>2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114" t="n">
        <v>9</v>
      </c>
      <c r="I19" s="39" t="n">
        <v>6</v>
      </c>
      <c r="J19" s="39" t="n">
        <v>7</v>
      </c>
      <c r="K19" s="40" t="n">
        <f aca="false">L19+M19</f>
        <v>0</v>
      </c>
      <c r="L19" s="40"/>
      <c r="M19" s="40"/>
      <c r="N19" s="39" t="n">
        <v>8</v>
      </c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117" t="n">
        <v>1</v>
      </c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114" t="n">
        <v>7</v>
      </c>
      <c r="I21" s="61" t="n">
        <v>2</v>
      </c>
      <c r="J21" s="61" t="n">
        <v>2</v>
      </c>
      <c r="K21" s="62" t="n">
        <f aca="false">L21+M21</f>
        <v>0</v>
      </c>
      <c r="L21" s="62"/>
      <c r="M21" s="62"/>
      <c r="N21" s="61" t="n">
        <v>2</v>
      </c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118" t="n">
        <v>1</v>
      </c>
      <c r="I22" s="64"/>
      <c r="J22" s="64"/>
      <c r="K22" s="65" t="n">
        <f aca="false">L22+M22</f>
        <v>0</v>
      </c>
      <c r="L22" s="65"/>
      <c r="M22" s="65"/>
      <c r="N22" s="64" t="n">
        <v>2</v>
      </c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114" t="n">
        <v>1</v>
      </c>
      <c r="I23" s="67"/>
      <c r="J23" s="67"/>
      <c r="K23" s="68" t="n">
        <f aca="false">L23+M23</f>
        <v>0</v>
      </c>
      <c r="L23" s="68"/>
      <c r="M23" s="68"/>
      <c r="N23" s="67" t="n">
        <v>2</v>
      </c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26"/>
      <c r="G24" s="27" t="s">
        <v>26</v>
      </c>
      <c r="H24" s="118" t="n">
        <v>2</v>
      </c>
      <c r="I24" s="58"/>
      <c r="J24" s="58"/>
      <c r="K24" s="59" t="n">
        <f aca="false">L24+M24</f>
        <v>0</v>
      </c>
      <c r="L24" s="59"/>
      <c r="M24" s="59"/>
      <c r="N24" s="58" t="n">
        <v>2</v>
      </c>
      <c r="O24" s="59" t="n">
        <f aca="false">P24+Q24</f>
        <v>0</v>
      </c>
      <c r="P24" s="59"/>
      <c r="Q24" s="60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40</v>
      </c>
      <c r="C25" s="19" t="s">
        <v>38</v>
      </c>
      <c r="D25" s="19" t="s">
        <v>41</v>
      </c>
      <c r="E25" s="19" t="s">
        <v>42</v>
      </c>
      <c r="F25" s="20"/>
      <c r="G25" s="21" t="s">
        <v>22</v>
      </c>
      <c r="H25" s="116"/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115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5.75" hidden="false" customHeight="true" outlineLevel="0" collapsed="false">
      <c r="A27" s="54"/>
      <c r="B27" s="55" t="s">
        <v>43</v>
      </c>
      <c r="C27" s="56" t="s">
        <v>33</v>
      </c>
      <c r="D27" s="56" t="s">
        <v>44</v>
      </c>
      <c r="E27" s="56" t="s">
        <v>45</v>
      </c>
      <c r="F27" s="36"/>
      <c r="G27" s="21" t="s">
        <v>22</v>
      </c>
      <c r="H27" s="114" t="n">
        <v>5</v>
      </c>
      <c r="I27" s="61" t="n">
        <v>3</v>
      </c>
      <c r="J27" s="61" t="n">
        <v>3</v>
      </c>
      <c r="K27" s="62" t="n">
        <v>0</v>
      </c>
      <c r="L27" s="62"/>
      <c r="M27" s="62"/>
      <c r="N27" s="61" t="n">
        <v>6</v>
      </c>
      <c r="O27" s="62" t="n">
        <f aca="false">P27+Q27</f>
        <v>0</v>
      </c>
      <c r="P27" s="62"/>
      <c r="Q27" s="63"/>
      <c r="R27" s="70"/>
      <c r="S27" s="70"/>
      <c r="T27" s="70"/>
      <c r="U27" s="70"/>
      <c r="V27" s="70"/>
      <c r="W27" s="70"/>
      <c r="X27" s="70"/>
      <c r="Y27" s="70"/>
      <c r="Z27" s="70"/>
      <c r="AA27" s="70"/>
    </row>
    <row r="28" customFormat="false" ht="15.75" hidden="false" customHeight="true" outlineLevel="0" collapsed="false">
      <c r="A28" s="54"/>
      <c r="B28" s="55"/>
      <c r="C28" s="55"/>
      <c r="D28" s="55"/>
      <c r="E28" s="55"/>
      <c r="F28" s="26"/>
      <c r="G28" s="27" t="s">
        <v>26</v>
      </c>
      <c r="H28" s="115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" hidden="false" customHeight="true" outlineLevel="0" collapsed="false">
      <c r="A29" s="33"/>
      <c r="B29" s="34" t="s">
        <v>46</v>
      </c>
      <c r="C29" s="35" t="s">
        <v>20</v>
      </c>
      <c r="D29" s="35"/>
      <c r="E29" s="35" t="s">
        <v>25</v>
      </c>
      <c r="F29" s="36"/>
      <c r="G29" s="21" t="s">
        <v>22</v>
      </c>
      <c r="H29" s="114" t="n">
        <v>2</v>
      </c>
      <c r="I29" s="61" t="n">
        <v>1</v>
      </c>
      <c r="J29" s="61" t="n">
        <v>1</v>
      </c>
      <c r="K29" s="62" t="n">
        <f aca="false">L29+M29</f>
        <v>0</v>
      </c>
      <c r="L29" s="62"/>
      <c r="M29" s="62"/>
      <c r="N29" s="61" t="n">
        <v>4</v>
      </c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5.75" hidden="false" customHeight="true" outlineLevel="0" collapsed="false">
      <c r="A30" s="33"/>
      <c r="B30" s="34"/>
      <c r="C30" s="34"/>
      <c r="D30" s="34"/>
      <c r="E30" s="34"/>
      <c r="F30" s="71"/>
      <c r="G30" s="43" t="s">
        <v>26</v>
      </c>
      <c r="H30" s="115"/>
      <c r="I30" s="64"/>
      <c r="J30" s="64"/>
      <c r="K30" s="65" t="n">
        <f aca="false">L30+M30</f>
        <v>0</v>
      </c>
      <c r="L30" s="65"/>
      <c r="M30" s="65"/>
      <c r="N30" s="64"/>
      <c r="O30" s="65" t="n">
        <f aca="false">P30+Q30</f>
        <v>0</v>
      </c>
      <c r="P30" s="65"/>
      <c r="Q30" s="66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72"/>
      <c r="B31" s="73" t="s">
        <v>47</v>
      </c>
      <c r="C31" s="74" t="s">
        <v>20</v>
      </c>
      <c r="D31" s="74"/>
      <c r="E31" s="75" t="s">
        <v>25</v>
      </c>
      <c r="F31" s="22"/>
      <c r="G31" s="21" t="s">
        <v>22</v>
      </c>
      <c r="H31" s="114" t="n">
        <v>1</v>
      </c>
      <c r="I31" s="67"/>
      <c r="J31" s="67"/>
      <c r="K31" s="68" t="n">
        <f aca="false">L31+M31</f>
        <v>0</v>
      </c>
      <c r="L31" s="68"/>
      <c r="M31" s="68"/>
      <c r="N31" s="67"/>
      <c r="O31" s="68" t="n">
        <f aca="false">P31+Q31</f>
        <v>0</v>
      </c>
      <c r="P31" s="68"/>
      <c r="Q31" s="69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72"/>
      <c r="B32" s="73"/>
      <c r="C32" s="73"/>
      <c r="D32" s="73"/>
      <c r="E32" s="75"/>
      <c r="F32" s="42"/>
      <c r="G32" s="43" t="s">
        <v>26</v>
      </c>
      <c r="H32" s="117" t="n">
        <v>3</v>
      </c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17"/>
      <c r="B33" s="18" t="s">
        <v>48</v>
      </c>
      <c r="C33" s="19" t="s">
        <v>20</v>
      </c>
      <c r="D33" s="19"/>
      <c r="E33" s="19" t="s">
        <v>25</v>
      </c>
      <c r="F33" s="20"/>
      <c r="G33" s="21" t="s">
        <v>22</v>
      </c>
      <c r="H33" s="116"/>
      <c r="I33" s="67"/>
      <c r="J33" s="67"/>
      <c r="K33" s="68" t="n">
        <f aca="false">L33+M33</f>
        <v>0</v>
      </c>
      <c r="L33" s="68"/>
      <c r="M33" s="68"/>
      <c r="N33" s="67" t="n">
        <v>1</v>
      </c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17"/>
      <c r="B34" s="18"/>
      <c r="C34" s="18"/>
      <c r="D34" s="18"/>
      <c r="E34" s="18"/>
      <c r="F34" s="26"/>
      <c r="G34" s="27" t="s">
        <v>26</v>
      </c>
      <c r="H34" s="118" t="n">
        <v>2</v>
      </c>
      <c r="I34" s="58"/>
      <c r="J34" s="58"/>
      <c r="K34" s="59" t="n">
        <f aca="false">L34+M34</f>
        <v>0</v>
      </c>
      <c r="L34" s="59"/>
      <c r="M34" s="59"/>
      <c r="N34" s="58"/>
      <c r="O34" s="59" t="n">
        <f aca="false">P34+Q34</f>
        <v>0</v>
      </c>
      <c r="P34" s="59"/>
      <c r="Q34" s="60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" hidden="false" customHeight="true" outlineLevel="0" collapsed="false">
      <c r="A35" s="54"/>
      <c r="B35" s="55" t="s">
        <v>49</v>
      </c>
      <c r="C35" s="56" t="s">
        <v>20</v>
      </c>
      <c r="D35" s="78"/>
      <c r="E35" s="56" t="s">
        <v>50</v>
      </c>
      <c r="F35" s="36"/>
      <c r="G35" s="21" t="s">
        <v>22</v>
      </c>
      <c r="H35" s="116"/>
      <c r="I35" s="61"/>
      <c r="J35" s="61"/>
      <c r="K35" s="62" t="n">
        <f aca="false">L35+M35</f>
        <v>0</v>
      </c>
      <c r="L35" s="62"/>
      <c r="M35" s="62"/>
      <c r="N35" s="61"/>
      <c r="O35" s="62" t="n">
        <f aca="false">P35+Q35</f>
        <v>0</v>
      </c>
      <c r="P35" s="62"/>
      <c r="Q35" s="63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54"/>
      <c r="B36" s="55"/>
      <c r="C36" s="55"/>
      <c r="D36" s="55"/>
      <c r="E36" s="55"/>
      <c r="F36" s="57"/>
      <c r="G36" s="27" t="s">
        <v>26</v>
      </c>
      <c r="H36" s="115"/>
      <c r="I36" s="58"/>
      <c r="J36" s="58"/>
      <c r="K36" s="59" t="n">
        <f aca="false">L36+M36</f>
        <v>0</v>
      </c>
      <c r="L36" s="59"/>
      <c r="M36" s="59"/>
      <c r="N36" s="58"/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33"/>
      <c r="B37" s="34" t="s">
        <v>51</v>
      </c>
      <c r="C37" s="35" t="s">
        <v>20</v>
      </c>
      <c r="D37" s="35"/>
      <c r="E37" s="35" t="s">
        <v>52</v>
      </c>
      <c r="F37" s="36"/>
      <c r="G37" s="21" t="s">
        <v>22</v>
      </c>
      <c r="H37" s="116"/>
      <c r="I37" s="61"/>
      <c r="J37" s="61"/>
      <c r="K37" s="62" t="n">
        <f aca="false">L37+M37</f>
        <v>0</v>
      </c>
      <c r="L37" s="62"/>
      <c r="M37" s="62"/>
      <c r="N37" s="61" t="n">
        <v>1</v>
      </c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33"/>
      <c r="B38" s="34"/>
      <c r="C38" s="34"/>
      <c r="D38" s="34"/>
      <c r="E38" s="34"/>
      <c r="F38" s="71"/>
      <c r="G38" s="43" t="s">
        <v>26</v>
      </c>
      <c r="H38" s="115"/>
      <c r="I38" s="64"/>
      <c r="J38" s="64"/>
      <c r="K38" s="65" t="n">
        <f aca="false">L38+M38</f>
        <v>0</v>
      </c>
      <c r="L38" s="65"/>
      <c r="M38" s="65"/>
      <c r="N38" s="64"/>
      <c r="O38" s="65" t="n">
        <f aca="false">P38+Q38</f>
        <v>0</v>
      </c>
      <c r="P38" s="65"/>
      <c r="Q38" s="66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17"/>
      <c r="B39" s="18" t="s">
        <v>53</v>
      </c>
      <c r="C39" s="19" t="s">
        <v>33</v>
      </c>
      <c r="D39" s="19" t="s">
        <v>54</v>
      </c>
      <c r="E39" s="19" t="s">
        <v>42</v>
      </c>
      <c r="F39" s="20"/>
      <c r="G39" s="21" t="s">
        <v>22</v>
      </c>
      <c r="H39" s="114" t="n">
        <v>6</v>
      </c>
      <c r="I39" s="67" t="n">
        <v>1</v>
      </c>
      <c r="J39" s="67" t="n">
        <v>1</v>
      </c>
      <c r="K39" s="68" t="n">
        <f aca="false">L39+M39</f>
        <v>0</v>
      </c>
      <c r="L39" s="68"/>
      <c r="M39" s="68"/>
      <c r="N39" s="67" t="n">
        <v>10</v>
      </c>
      <c r="O39" s="68" t="n">
        <f aca="false">P39+Q39</f>
        <v>0</v>
      </c>
      <c r="P39" s="68"/>
      <c r="Q39" s="69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17"/>
      <c r="B40" s="18"/>
      <c r="C40" s="18"/>
      <c r="D40" s="18"/>
      <c r="E40" s="18"/>
      <c r="F40" s="57"/>
      <c r="G40" s="27" t="s">
        <v>23</v>
      </c>
      <c r="H40" s="115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55</v>
      </c>
      <c r="C41" s="35" t="s">
        <v>20</v>
      </c>
      <c r="D41" s="35"/>
      <c r="E41" s="35" t="s">
        <v>25</v>
      </c>
      <c r="F41" s="38"/>
      <c r="G41" s="21" t="s">
        <v>22</v>
      </c>
      <c r="H41" s="116"/>
      <c r="I41" s="61"/>
      <c r="J41" s="61"/>
      <c r="K41" s="62" t="n">
        <f aca="false">L41+M41</f>
        <v>0</v>
      </c>
      <c r="L41" s="62"/>
      <c r="M41" s="62"/>
      <c r="N41" s="61"/>
      <c r="O41" s="62" t="n">
        <f aca="false">P41+Q41</f>
        <v>0</v>
      </c>
      <c r="P41" s="62"/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42"/>
      <c r="G42" s="43" t="s">
        <v>26</v>
      </c>
      <c r="H42" s="117" t="n">
        <v>2</v>
      </c>
      <c r="I42" s="64"/>
      <c r="J42" s="64"/>
      <c r="K42" s="65" t="n">
        <f aca="false">L42+M42</f>
        <v>0</v>
      </c>
      <c r="L42" s="65"/>
      <c r="M42" s="65"/>
      <c r="N42" s="64" t="n">
        <v>2</v>
      </c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.75" hidden="false" customHeight="true" outlineLevel="0" collapsed="false">
      <c r="A43" s="17"/>
      <c r="B43" s="18" t="s">
        <v>56</v>
      </c>
      <c r="C43" s="19" t="s">
        <v>33</v>
      </c>
      <c r="D43" s="19" t="s">
        <v>57</v>
      </c>
      <c r="E43" s="19" t="s">
        <v>25</v>
      </c>
      <c r="F43" s="20"/>
      <c r="G43" s="21" t="s">
        <v>22</v>
      </c>
      <c r="H43" s="114" t="n">
        <v>1</v>
      </c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17"/>
      <c r="B44" s="18"/>
      <c r="C44" s="18"/>
      <c r="D44" s="18"/>
      <c r="E44" s="18"/>
      <c r="F44" s="26"/>
      <c r="G44" s="27" t="s">
        <v>26</v>
      </c>
      <c r="H44" s="115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58</v>
      </c>
      <c r="C45" s="35" t="s">
        <v>20</v>
      </c>
      <c r="D45" s="35"/>
      <c r="E45" s="35" t="s">
        <v>52</v>
      </c>
      <c r="F45" s="36"/>
      <c r="G45" s="21" t="s">
        <v>22</v>
      </c>
      <c r="H45" s="114" t="n">
        <v>2</v>
      </c>
      <c r="I45" s="61"/>
      <c r="J45" s="61"/>
      <c r="K45" s="62" t="n">
        <f aca="false">L45+M45</f>
        <v>0</v>
      </c>
      <c r="L45" s="62"/>
      <c r="M45" s="62"/>
      <c r="N45" s="61" t="n">
        <v>2</v>
      </c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71"/>
      <c r="G46" s="43" t="s">
        <v>26</v>
      </c>
      <c r="H46" s="115"/>
      <c r="I46" s="64"/>
      <c r="J46" s="64"/>
      <c r="K46" s="65" t="n">
        <f aca="false">L46+M46</f>
        <v>0</v>
      </c>
      <c r="L46" s="65"/>
      <c r="M46" s="65"/>
      <c r="N46" s="64"/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72"/>
      <c r="B47" s="73" t="s">
        <v>59</v>
      </c>
      <c r="C47" s="74" t="s">
        <v>20</v>
      </c>
      <c r="D47" s="79"/>
      <c r="E47" s="74" t="s">
        <v>25</v>
      </c>
      <c r="F47" s="22"/>
      <c r="G47" s="21" t="s">
        <v>22</v>
      </c>
      <c r="H47" s="116"/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72"/>
      <c r="B48" s="73"/>
      <c r="C48" s="73"/>
      <c r="D48" s="73"/>
      <c r="E48" s="73"/>
      <c r="F48" s="71"/>
      <c r="G48" s="43" t="s">
        <v>26</v>
      </c>
      <c r="H48" s="115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60</v>
      </c>
      <c r="C49" s="19" t="s">
        <v>20</v>
      </c>
      <c r="D49" s="19"/>
      <c r="E49" s="19" t="s">
        <v>21</v>
      </c>
      <c r="F49" s="22"/>
      <c r="G49" s="21" t="s">
        <v>22</v>
      </c>
      <c r="H49" s="116"/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57"/>
      <c r="G50" s="27" t="s">
        <v>23</v>
      </c>
      <c r="H50" s="115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.75" hidden="false" customHeight="true" outlineLevel="0" collapsed="false">
      <c r="A51" s="33"/>
      <c r="B51" s="34" t="s">
        <v>61</v>
      </c>
      <c r="C51" s="35" t="s">
        <v>33</v>
      </c>
      <c r="D51" s="56" t="s">
        <v>62</v>
      </c>
      <c r="E51" s="35" t="s">
        <v>25</v>
      </c>
      <c r="F51" s="36"/>
      <c r="G51" s="21" t="s">
        <v>22</v>
      </c>
      <c r="H51" s="114" t="n">
        <v>3</v>
      </c>
      <c r="I51" s="61" t="n">
        <v>1</v>
      </c>
      <c r="J51" s="61" t="n">
        <v>1</v>
      </c>
      <c r="K51" s="62" t="n">
        <f aca="false">L51+M51</f>
        <v>0</v>
      </c>
      <c r="L51" s="62"/>
      <c r="M51" s="62"/>
      <c r="N51" s="61"/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56"/>
      <c r="E52" s="35"/>
      <c r="F52" s="42"/>
      <c r="G52" s="43" t="s">
        <v>26</v>
      </c>
      <c r="H52" s="115"/>
      <c r="I52" s="64"/>
      <c r="J52" s="64"/>
      <c r="K52" s="65" t="n">
        <f aca="false">L52+M52</f>
        <v>0</v>
      </c>
      <c r="L52" s="65"/>
      <c r="M52" s="65"/>
      <c r="N52" s="64" t="n">
        <v>2</v>
      </c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.75" hidden="false" customHeight="true" outlineLevel="0" collapsed="false">
      <c r="A53" s="72"/>
      <c r="B53" s="73" t="s">
        <v>63</v>
      </c>
      <c r="C53" s="74" t="s">
        <v>20</v>
      </c>
      <c r="D53" s="74"/>
      <c r="E53" s="74" t="s">
        <v>25</v>
      </c>
      <c r="F53" s="20"/>
      <c r="G53" s="21" t="s">
        <v>22</v>
      </c>
      <c r="H53" s="119" t="n">
        <v>1</v>
      </c>
      <c r="I53" s="67"/>
      <c r="J53" s="67"/>
      <c r="K53" s="68" t="n">
        <f aca="false">L53+M53</f>
        <v>0</v>
      </c>
      <c r="L53" s="68"/>
      <c r="M53" s="68"/>
      <c r="N53" s="67" t="n">
        <v>3</v>
      </c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42"/>
      <c r="G54" s="43" t="s">
        <v>26</v>
      </c>
      <c r="H54" s="115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64</v>
      </c>
      <c r="C55" s="74" t="s">
        <v>20</v>
      </c>
      <c r="D55" s="74"/>
      <c r="E55" s="74" t="s">
        <v>25</v>
      </c>
      <c r="F55" s="20"/>
      <c r="G55" s="21" t="s">
        <v>22</v>
      </c>
      <c r="H55" s="116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115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17"/>
      <c r="B57" s="18" t="s">
        <v>65</v>
      </c>
      <c r="C57" s="19" t="s">
        <v>33</v>
      </c>
      <c r="D57" s="19" t="s">
        <v>66</v>
      </c>
      <c r="E57" s="19" t="s">
        <v>67</v>
      </c>
      <c r="F57" s="20"/>
      <c r="G57" s="21" t="s">
        <v>22</v>
      </c>
      <c r="H57" s="114" t="n">
        <v>2</v>
      </c>
      <c r="I57" s="67" t="n">
        <v>1</v>
      </c>
      <c r="J57" s="67" t="n">
        <v>1</v>
      </c>
      <c r="K57" s="68" t="n">
        <f aca="false">L57+M57</f>
        <v>0</v>
      </c>
      <c r="L57" s="68"/>
      <c r="M57" s="68"/>
      <c r="N57" s="67" t="n">
        <v>2</v>
      </c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26"/>
      <c r="G58" s="27" t="s">
        <v>23</v>
      </c>
      <c r="H58" s="117" t="n">
        <v>4</v>
      </c>
      <c r="I58" s="58" t="n">
        <v>9</v>
      </c>
      <c r="J58" s="58" t="n">
        <v>9</v>
      </c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68</v>
      </c>
      <c r="C59" s="35" t="s">
        <v>20</v>
      </c>
      <c r="D59" s="35"/>
      <c r="E59" s="35" t="s">
        <v>69</v>
      </c>
      <c r="F59" s="38"/>
      <c r="G59" s="21" t="s">
        <v>22</v>
      </c>
      <c r="H59" s="116"/>
      <c r="I59" s="61"/>
      <c r="J59" s="61"/>
      <c r="K59" s="62" t="n">
        <f aca="false">L59+M59</f>
        <v>0</v>
      </c>
      <c r="L59" s="62"/>
      <c r="M59" s="62"/>
      <c r="N59" s="61" t="n">
        <v>4</v>
      </c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42"/>
      <c r="G60" s="43" t="s">
        <v>26</v>
      </c>
      <c r="H60" s="115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17"/>
      <c r="B61" s="18" t="s">
        <v>70</v>
      </c>
      <c r="C61" s="19" t="s">
        <v>20</v>
      </c>
      <c r="D61" s="19" t="s">
        <v>71</v>
      </c>
      <c r="E61" s="19" t="s">
        <v>25</v>
      </c>
      <c r="F61" s="20"/>
      <c r="G61" s="21" t="s">
        <v>22</v>
      </c>
      <c r="H61" s="116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26"/>
      <c r="G62" s="27" t="s">
        <v>26</v>
      </c>
      <c r="H62" s="115"/>
      <c r="I62" s="58"/>
      <c r="J62" s="58"/>
      <c r="K62" s="59" t="n">
        <f aca="false">L62+M62</f>
        <v>0</v>
      </c>
      <c r="L62" s="59"/>
      <c r="M62" s="59"/>
      <c r="N62" s="58"/>
      <c r="O62" s="59" t="n">
        <f aca="false">P62+Q62</f>
        <v>0</v>
      </c>
      <c r="P62" s="59"/>
      <c r="Q62" s="60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33"/>
      <c r="B63" s="34" t="s">
        <v>72</v>
      </c>
      <c r="C63" s="35" t="s">
        <v>20</v>
      </c>
      <c r="D63" s="35"/>
      <c r="E63" s="35" t="s">
        <v>52</v>
      </c>
      <c r="F63" s="36"/>
      <c r="G63" s="21" t="s">
        <v>22</v>
      </c>
      <c r="H63" s="114" t="n">
        <v>1</v>
      </c>
      <c r="I63" s="61"/>
      <c r="J63" s="61"/>
      <c r="K63" s="62" t="n">
        <f aca="false">L63+M63</f>
        <v>0</v>
      </c>
      <c r="L63" s="62"/>
      <c r="M63" s="62"/>
      <c r="N63" s="61"/>
      <c r="O63" s="62" t="n">
        <f aca="false">P63+Q63</f>
        <v>0</v>
      </c>
      <c r="P63" s="62"/>
      <c r="Q63" s="63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33"/>
      <c r="B64" s="34"/>
      <c r="C64" s="34"/>
      <c r="D64" s="34"/>
      <c r="E64" s="34"/>
      <c r="F64" s="42"/>
      <c r="G64" s="43" t="s">
        <v>26</v>
      </c>
      <c r="H64" s="117" t="n">
        <v>1</v>
      </c>
      <c r="I64" s="64"/>
      <c r="J64" s="64"/>
      <c r="K64" s="65" t="n">
        <f aca="false">L64+M64</f>
        <v>0</v>
      </c>
      <c r="L64" s="65"/>
      <c r="M64" s="65"/>
      <c r="N64" s="64" t="n">
        <v>3</v>
      </c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17"/>
      <c r="B65" s="18" t="s">
        <v>73</v>
      </c>
      <c r="C65" s="19" t="s">
        <v>20</v>
      </c>
      <c r="D65" s="19"/>
      <c r="E65" s="19" t="s">
        <v>52</v>
      </c>
      <c r="F65" s="20"/>
      <c r="G65" s="21" t="s">
        <v>22</v>
      </c>
      <c r="H65" s="114" t="n">
        <v>1</v>
      </c>
      <c r="I65" s="67" t="n">
        <v>1</v>
      </c>
      <c r="J65" s="67" t="n">
        <v>1</v>
      </c>
      <c r="K65" s="68" t="n">
        <f aca="false">L65+M65</f>
        <v>0</v>
      </c>
      <c r="L65" s="68"/>
      <c r="M65" s="68"/>
      <c r="N65" s="67" t="n">
        <v>2</v>
      </c>
      <c r="O65" s="68" t="n">
        <f aca="false">P65+Q65</f>
        <v>0</v>
      </c>
      <c r="P65" s="68"/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26"/>
      <c r="G66" s="27" t="s">
        <v>26</v>
      </c>
      <c r="H66" s="118" t="n">
        <v>1</v>
      </c>
      <c r="I66" s="58"/>
      <c r="J66" s="58"/>
      <c r="K66" s="59" t="n">
        <f aca="false">L66+M66</f>
        <v>0</v>
      </c>
      <c r="L66" s="59"/>
      <c r="M66" s="59"/>
      <c r="N66" s="58" t="n">
        <v>1</v>
      </c>
      <c r="O66" s="59" t="n">
        <f aca="false">P66+Q66</f>
        <v>0</v>
      </c>
      <c r="P66" s="59"/>
      <c r="Q66" s="60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33"/>
      <c r="B67" s="34" t="s">
        <v>74</v>
      </c>
      <c r="C67" s="35" t="s">
        <v>33</v>
      </c>
      <c r="D67" s="35" t="s">
        <v>75</v>
      </c>
      <c r="E67" s="35" t="s">
        <v>25</v>
      </c>
      <c r="F67" s="36"/>
      <c r="G67" s="21" t="s">
        <v>22</v>
      </c>
      <c r="H67" s="114" t="n">
        <v>10</v>
      </c>
      <c r="I67" s="61" t="n">
        <v>5</v>
      </c>
      <c r="J67" s="61" t="n">
        <v>5</v>
      </c>
      <c r="K67" s="62" t="n">
        <f aca="false">L67+M67</f>
        <v>0</v>
      </c>
      <c r="L67" s="62"/>
      <c r="M67" s="62"/>
      <c r="N67" s="61" t="n">
        <v>12</v>
      </c>
      <c r="O67" s="62" t="n">
        <f aca="false">P67+Q67</f>
        <v>0</v>
      </c>
      <c r="P67" s="62"/>
      <c r="Q67" s="63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33"/>
      <c r="B68" s="34"/>
      <c r="C68" s="34"/>
      <c r="D68" s="34"/>
      <c r="E68" s="34"/>
      <c r="F68" s="42"/>
      <c r="G68" s="43" t="s">
        <v>26</v>
      </c>
      <c r="H68" s="115"/>
      <c r="I68" s="64"/>
      <c r="J68" s="64"/>
      <c r="K68" s="65" t="n">
        <f aca="false">L68+M68</f>
        <v>0</v>
      </c>
      <c r="L68" s="65"/>
      <c r="M68" s="65"/>
      <c r="N68" s="64" t="n">
        <v>1</v>
      </c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76</v>
      </c>
      <c r="C69" s="74" t="s">
        <v>20</v>
      </c>
      <c r="D69" s="74"/>
      <c r="E69" s="74" t="s">
        <v>25</v>
      </c>
      <c r="F69" s="20"/>
      <c r="G69" s="21" t="s">
        <v>22</v>
      </c>
      <c r="H69" s="114" t="n">
        <v>2</v>
      </c>
      <c r="I69" s="67"/>
      <c r="J69" s="67"/>
      <c r="K69" s="68" t="n">
        <f aca="false">L69+M69</f>
        <v>0</v>
      </c>
      <c r="L69" s="68"/>
      <c r="M69" s="68"/>
      <c r="N69" s="67"/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42"/>
      <c r="G70" s="43" t="s">
        <v>26</v>
      </c>
      <c r="H70" s="117" t="n">
        <v>2</v>
      </c>
      <c r="I70" s="64"/>
      <c r="J70" s="64"/>
      <c r="K70" s="65" t="n">
        <f aca="false">L70+M70</f>
        <v>0</v>
      </c>
      <c r="L70" s="65"/>
      <c r="M70" s="65"/>
      <c r="N70" s="64" t="n">
        <v>2</v>
      </c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77</v>
      </c>
      <c r="C71" s="19" t="s">
        <v>38</v>
      </c>
      <c r="D71" s="19" t="s">
        <v>78</v>
      </c>
      <c r="E71" s="19" t="s">
        <v>25</v>
      </c>
      <c r="F71" s="22"/>
      <c r="G71" s="21" t="s">
        <v>22</v>
      </c>
      <c r="H71" s="116"/>
      <c r="I71" s="67"/>
      <c r="J71" s="67"/>
      <c r="K71" s="68" t="n">
        <f aca="false">L71+M71</f>
        <v>0</v>
      </c>
      <c r="L71" s="68"/>
      <c r="M71" s="68"/>
      <c r="N71" s="67" t="n">
        <v>1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80"/>
      <c r="G72" s="81" t="s">
        <v>26</v>
      </c>
      <c r="H72" s="114" t="n">
        <v>2</v>
      </c>
      <c r="I72" s="82"/>
      <c r="J72" s="82"/>
      <c r="K72" s="83" t="n">
        <f aca="false">L72+M72</f>
        <v>0</v>
      </c>
      <c r="L72" s="83"/>
      <c r="M72" s="83"/>
      <c r="N72" s="82" t="n">
        <v>4</v>
      </c>
      <c r="O72" s="83" t="n">
        <f aca="false">P72+Q72</f>
        <v>0</v>
      </c>
      <c r="P72" s="83"/>
      <c r="Q72" s="84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false" outlineLevel="0" collapsed="false">
      <c r="A73" s="17"/>
      <c r="B73" s="18"/>
      <c r="C73" s="18"/>
      <c r="D73" s="18"/>
      <c r="E73" s="18"/>
      <c r="F73" s="85"/>
      <c r="G73" s="86" t="s">
        <v>23</v>
      </c>
      <c r="H73" s="120" t="n">
        <v>1</v>
      </c>
      <c r="I73" s="58"/>
      <c r="J73" s="58"/>
      <c r="K73" s="59" t="n">
        <f aca="false">L73+M73</f>
        <v>0</v>
      </c>
      <c r="L73" s="59"/>
      <c r="M73" s="59"/>
      <c r="N73" s="58" t="n">
        <v>2</v>
      </c>
      <c r="O73" s="59" t="n">
        <f aca="false">P73+Q73</f>
        <v>0</v>
      </c>
      <c r="P73" s="59"/>
      <c r="Q73" s="60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true" outlineLevel="0" collapsed="false">
      <c r="A74" s="33"/>
      <c r="B74" s="34" t="s">
        <v>79</v>
      </c>
      <c r="C74" s="35" t="s">
        <v>20</v>
      </c>
      <c r="D74" s="35"/>
      <c r="E74" s="35" t="s">
        <v>52</v>
      </c>
      <c r="F74" s="38"/>
      <c r="G74" s="21" t="s">
        <v>22</v>
      </c>
      <c r="H74" s="114" t="n">
        <v>1</v>
      </c>
      <c r="I74" s="61" t="n">
        <v>1</v>
      </c>
      <c r="J74" s="61" t="n">
        <v>1</v>
      </c>
      <c r="K74" s="62" t="n">
        <f aca="false">L74+M74</f>
        <v>0</v>
      </c>
      <c r="L74" s="62"/>
      <c r="M74" s="62"/>
      <c r="N74" s="61" t="n">
        <v>1</v>
      </c>
      <c r="O74" s="62" t="n">
        <f aca="false">P74+Q74</f>
        <v>0</v>
      </c>
      <c r="P74" s="62"/>
      <c r="Q74" s="63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.75" hidden="false" customHeight="true" outlineLevel="0" collapsed="false">
      <c r="A75" s="33"/>
      <c r="B75" s="34"/>
      <c r="C75" s="34"/>
      <c r="D75" s="34"/>
      <c r="E75" s="34"/>
      <c r="F75" s="42"/>
      <c r="G75" s="43" t="s">
        <v>26</v>
      </c>
      <c r="H75" s="115"/>
      <c r="I75" s="64"/>
      <c r="J75" s="64"/>
      <c r="K75" s="65" t="n">
        <f aca="false">L75+M75</f>
        <v>0</v>
      </c>
      <c r="L75" s="65"/>
      <c r="M75" s="65"/>
      <c r="N75" s="64"/>
      <c r="O75" s="65" t="n">
        <f aca="false">P75+Q75</f>
        <v>0</v>
      </c>
      <c r="P75" s="65"/>
      <c r="Q75" s="66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" hidden="false" customHeight="true" outlineLevel="0" collapsed="false">
      <c r="A76" s="72"/>
      <c r="B76" s="73" t="s">
        <v>80</v>
      </c>
      <c r="C76" s="74" t="s">
        <v>20</v>
      </c>
      <c r="D76" s="74"/>
      <c r="E76" s="74" t="s">
        <v>81</v>
      </c>
      <c r="F76" s="20"/>
      <c r="G76" s="21" t="s">
        <v>22</v>
      </c>
      <c r="H76" s="114" t="n">
        <v>2</v>
      </c>
      <c r="I76" s="67"/>
      <c r="J76" s="67"/>
      <c r="K76" s="68" t="n">
        <f aca="false">L76+M76</f>
        <v>0</v>
      </c>
      <c r="L76" s="68"/>
      <c r="M76" s="68"/>
      <c r="N76" s="67"/>
      <c r="O76" s="68" t="n">
        <f aca="false">P76+Q76</f>
        <v>0</v>
      </c>
      <c r="P76" s="68"/>
      <c r="Q76" s="69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72"/>
      <c r="B77" s="73"/>
      <c r="C77" s="73"/>
      <c r="D77" s="73"/>
      <c r="E77" s="73"/>
      <c r="F77" s="42"/>
      <c r="G77" s="43" t="s">
        <v>26</v>
      </c>
      <c r="H77" s="115"/>
      <c r="I77" s="64"/>
      <c r="J77" s="64"/>
      <c r="K77" s="65" t="n">
        <f aca="false">L77+M77</f>
        <v>0</v>
      </c>
      <c r="L77" s="65"/>
      <c r="M77" s="65"/>
      <c r="N77" s="64"/>
      <c r="O77" s="65" t="n">
        <f aca="false">P77+Q77</f>
        <v>0</v>
      </c>
      <c r="P77" s="65"/>
      <c r="Q77" s="66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" hidden="false" customHeight="true" outlineLevel="0" collapsed="false">
      <c r="A78" s="17"/>
      <c r="B78" s="18" t="s">
        <v>82</v>
      </c>
      <c r="C78" s="19" t="s">
        <v>20</v>
      </c>
      <c r="D78" s="19"/>
      <c r="E78" s="19" t="s">
        <v>25</v>
      </c>
      <c r="F78" s="22"/>
      <c r="G78" s="21" t="s">
        <v>22</v>
      </c>
      <c r="H78" s="114" t="n">
        <v>9</v>
      </c>
      <c r="I78" s="67" t="n">
        <v>1</v>
      </c>
      <c r="J78" s="67" t="n">
        <v>1</v>
      </c>
      <c r="K78" s="68" t="n">
        <f aca="false">L78+M78</f>
        <v>0</v>
      </c>
      <c r="L78" s="68"/>
      <c r="M78" s="68"/>
      <c r="N78" s="67" t="n">
        <v>1</v>
      </c>
      <c r="O78" s="68" t="n">
        <f aca="false">P78+Q78</f>
        <v>0</v>
      </c>
      <c r="P78" s="68"/>
      <c r="Q78" s="69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.75" hidden="false" customHeight="true" outlineLevel="0" collapsed="false">
      <c r="A79" s="17"/>
      <c r="B79" s="18"/>
      <c r="C79" s="18"/>
      <c r="D79" s="18"/>
      <c r="E79" s="18"/>
      <c r="F79" s="26"/>
      <c r="G79" s="27" t="s">
        <v>26</v>
      </c>
      <c r="H79" s="115"/>
      <c r="I79" s="58"/>
      <c r="J79" s="58"/>
      <c r="K79" s="59" t="n">
        <f aca="false">L79+M79</f>
        <v>0</v>
      </c>
      <c r="L79" s="59"/>
      <c r="M79" s="59"/>
      <c r="N79" s="58" t="n">
        <v>1</v>
      </c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17"/>
      <c r="B80" s="18" t="s">
        <v>83</v>
      </c>
      <c r="C80" s="19" t="s">
        <v>20</v>
      </c>
      <c r="D80" s="19"/>
      <c r="E80" s="19" t="s">
        <v>25</v>
      </c>
      <c r="F80" s="20"/>
      <c r="G80" s="21" t="s">
        <v>22</v>
      </c>
      <c r="H80" s="114" t="n">
        <v>1</v>
      </c>
      <c r="I80" s="67" t="n">
        <v>1</v>
      </c>
      <c r="J80" s="67" t="n">
        <v>1</v>
      </c>
      <c r="K80" s="68" t="n">
        <f aca="false">L80+M80</f>
        <v>0</v>
      </c>
      <c r="L80" s="68"/>
      <c r="M80" s="68"/>
      <c r="N80" s="67"/>
      <c r="O80" s="68" t="n">
        <f aca="false">P80+Q80</f>
        <v>0</v>
      </c>
      <c r="P80" s="68"/>
      <c r="Q80" s="69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17"/>
      <c r="B81" s="18"/>
      <c r="C81" s="18"/>
      <c r="D81" s="18"/>
      <c r="E81" s="18"/>
      <c r="F81" s="26"/>
      <c r="G81" s="27" t="s">
        <v>26</v>
      </c>
      <c r="H81" s="115"/>
      <c r="I81" s="58"/>
      <c r="J81" s="58"/>
      <c r="K81" s="59" t="n">
        <f aca="false">L81+M81</f>
        <v>0</v>
      </c>
      <c r="L81" s="59"/>
      <c r="M81" s="59"/>
      <c r="N81" s="58"/>
      <c r="O81" s="59" t="n">
        <f aca="false">P81+Q81</f>
        <v>0</v>
      </c>
      <c r="P81" s="59"/>
      <c r="Q81" s="60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33"/>
      <c r="B82" s="34" t="s">
        <v>84</v>
      </c>
      <c r="C82" s="35" t="s">
        <v>20</v>
      </c>
      <c r="D82" s="35"/>
      <c r="E82" s="35" t="s">
        <v>52</v>
      </c>
      <c r="F82" s="36"/>
      <c r="G82" s="21" t="s">
        <v>22</v>
      </c>
      <c r="H82" s="114" t="n">
        <v>5</v>
      </c>
      <c r="I82" s="61"/>
      <c r="J82" s="61"/>
      <c r="K82" s="62" t="n">
        <f aca="false">L82+M82</f>
        <v>0</v>
      </c>
      <c r="L82" s="62"/>
      <c r="M82" s="62"/>
      <c r="N82" s="61" t="n">
        <v>5</v>
      </c>
      <c r="O82" s="62" t="n">
        <f aca="false">P82+Q82</f>
        <v>0</v>
      </c>
      <c r="P82" s="62"/>
      <c r="Q82" s="63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/>
      <c r="C83" s="34"/>
      <c r="D83" s="34"/>
      <c r="E83" s="34"/>
      <c r="F83" s="71"/>
      <c r="G83" s="43" t="s">
        <v>26</v>
      </c>
      <c r="H83" s="115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85</v>
      </c>
      <c r="C84" s="19" t="s">
        <v>20</v>
      </c>
      <c r="D84" s="19"/>
      <c r="E84" s="19" t="s">
        <v>25</v>
      </c>
      <c r="F84" s="87"/>
      <c r="G84" s="21" t="s">
        <v>22</v>
      </c>
      <c r="H84" s="116"/>
      <c r="I84" s="67"/>
      <c r="J84" s="67"/>
      <c r="K84" s="68" t="n">
        <f aca="false">L84+M84</f>
        <v>0</v>
      </c>
      <c r="L84" s="68"/>
      <c r="M84" s="68"/>
      <c r="N84" s="67"/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88"/>
      <c r="G85" s="27" t="s">
        <v>26</v>
      </c>
      <c r="H85" s="115"/>
      <c r="I85" s="58"/>
      <c r="J85" s="58"/>
      <c r="K85" s="59" t="n">
        <f aca="false">L85+M85</f>
        <v>0</v>
      </c>
      <c r="L85" s="59"/>
      <c r="M85" s="59"/>
      <c r="N85" s="58"/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17"/>
      <c r="B86" s="73" t="s">
        <v>86</v>
      </c>
      <c r="C86" s="74" t="s">
        <v>33</v>
      </c>
      <c r="D86" s="74" t="s">
        <v>87</v>
      </c>
      <c r="E86" s="74" t="s">
        <v>88</v>
      </c>
      <c r="F86" s="20"/>
      <c r="G86" s="21" t="s">
        <v>22</v>
      </c>
      <c r="H86" s="119" t="n">
        <v>9</v>
      </c>
      <c r="I86" s="67" t="n">
        <v>2</v>
      </c>
      <c r="J86" s="67" t="n">
        <v>3</v>
      </c>
      <c r="K86" s="68" t="n">
        <f aca="false">L86+M86</f>
        <v>0</v>
      </c>
      <c r="L86" s="68"/>
      <c r="M86" s="68"/>
      <c r="N86" s="67" t="n">
        <v>4</v>
      </c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73"/>
      <c r="C87" s="73"/>
      <c r="D87" s="73"/>
      <c r="E87" s="73"/>
      <c r="F87" s="42"/>
      <c r="G87" s="43" t="s">
        <v>23</v>
      </c>
      <c r="H87" s="117" t="n">
        <v>4</v>
      </c>
      <c r="I87" s="64" t="n">
        <v>2</v>
      </c>
      <c r="J87" s="64" t="n">
        <v>2</v>
      </c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89</v>
      </c>
      <c r="C88" s="19" t="s">
        <v>20</v>
      </c>
      <c r="D88" s="19" t="s">
        <v>90</v>
      </c>
      <c r="E88" s="19" t="s">
        <v>42</v>
      </c>
      <c r="F88" s="20"/>
      <c r="G88" s="21" t="s">
        <v>22</v>
      </c>
      <c r="H88" s="114" t="n">
        <v>7</v>
      </c>
      <c r="I88" s="67"/>
      <c r="J88" s="67"/>
      <c r="K88" s="68" t="n">
        <f aca="false">L88+M88</f>
        <v>0</v>
      </c>
      <c r="L88" s="68"/>
      <c r="M88" s="68"/>
      <c r="N88" s="67" t="n">
        <v>3</v>
      </c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/>
      <c r="G89" s="27" t="s">
        <v>23</v>
      </c>
      <c r="H89" s="115"/>
      <c r="I89" s="58"/>
      <c r="J89" s="58"/>
      <c r="K89" s="59" t="n">
        <f aca="false">L89+M89</f>
        <v>0</v>
      </c>
      <c r="L89" s="59"/>
      <c r="M89" s="59"/>
      <c r="N89" s="58"/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.75" hidden="false" customHeight="true" outlineLevel="0" collapsed="false">
      <c r="A90" s="33"/>
      <c r="B90" s="34" t="s">
        <v>91</v>
      </c>
      <c r="C90" s="35" t="s">
        <v>33</v>
      </c>
      <c r="D90" s="35" t="s">
        <v>92</v>
      </c>
      <c r="E90" s="35" t="s">
        <v>25</v>
      </c>
      <c r="F90" s="36"/>
      <c r="G90" s="21" t="s">
        <v>22</v>
      </c>
      <c r="H90" s="114" t="n">
        <v>2</v>
      </c>
      <c r="I90" s="61"/>
      <c r="J90" s="61"/>
      <c r="K90" s="62" t="n">
        <f aca="false">L90+M90</f>
        <v>0</v>
      </c>
      <c r="L90" s="62"/>
      <c r="M90" s="62"/>
      <c r="N90" s="61" t="n">
        <v>1</v>
      </c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89"/>
      <c r="G91" s="90" t="s">
        <v>23</v>
      </c>
      <c r="H91" s="116"/>
      <c r="I91" s="91"/>
      <c r="J91" s="91"/>
      <c r="K91" s="92" t="n">
        <f aca="false">L91+M91</f>
        <v>0</v>
      </c>
      <c r="L91" s="92"/>
      <c r="M91" s="92"/>
      <c r="N91" s="91"/>
      <c r="O91" s="92" t="n">
        <f aca="false">P91+Q91</f>
        <v>0</v>
      </c>
      <c r="P91" s="92"/>
      <c r="Q91" s="93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33"/>
      <c r="B92" s="34"/>
      <c r="C92" s="34"/>
      <c r="D92" s="34"/>
      <c r="E92" s="34"/>
      <c r="F92" s="42"/>
      <c r="G92" s="43" t="s">
        <v>26</v>
      </c>
      <c r="H92" s="117" t="n">
        <v>3</v>
      </c>
      <c r="I92" s="64"/>
      <c r="J92" s="64"/>
      <c r="K92" s="65" t="n">
        <f aca="false">L92+M92</f>
        <v>0</v>
      </c>
      <c r="L92" s="65"/>
      <c r="M92" s="65"/>
      <c r="N92" s="64" t="n">
        <v>1</v>
      </c>
      <c r="O92" s="65" t="n">
        <f aca="false">P92+Q92</f>
        <v>0</v>
      </c>
      <c r="P92" s="65"/>
      <c r="Q92" s="66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18" t="s">
        <v>93</v>
      </c>
      <c r="C93" s="19" t="s">
        <v>20</v>
      </c>
      <c r="D93" s="49"/>
      <c r="E93" s="19" t="s">
        <v>50</v>
      </c>
      <c r="F93" s="87"/>
      <c r="G93" s="21" t="s">
        <v>22</v>
      </c>
      <c r="H93" s="116"/>
      <c r="I93" s="67"/>
      <c r="J93" s="67"/>
      <c r="K93" s="68" t="n">
        <f aca="false">L93+M93</f>
        <v>0</v>
      </c>
      <c r="L93" s="68"/>
      <c r="M93" s="68"/>
      <c r="N93" s="67"/>
      <c r="O93" s="68" t="n">
        <f aca="false">P93+Q93</f>
        <v>0</v>
      </c>
      <c r="P93" s="68"/>
      <c r="Q93" s="69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.75" hidden="false" customHeight="true" outlineLevel="0" collapsed="false">
      <c r="A94" s="17"/>
      <c r="B94" s="18"/>
      <c r="C94" s="18"/>
      <c r="D94" s="18"/>
      <c r="E94" s="18"/>
      <c r="F94" s="88"/>
      <c r="G94" s="27" t="s">
        <v>26</v>
      </c>
      <c r="H94" s="117" t="n">
        <v>2</v>
      </c>
      <c r="I94" s="58"/>
      <c r="J94" s="58"/>
      <c r="K94" s="59" t="n">
        <f aca="false">L94+M94</f>
        <v>0</v>
      </c>
      <c r="L94" s="59"/>
      <c r="M94" s="59"/>
      <c r="N94" s="58"/>
      <c r="O94" s="59" t="n">
        <f aca="false">P94+Q94</f>
        <v>0</v>
      </c>
      <c r="P94" s="59"/>
      <c r="Q94" s="60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" hidden="false" customHeight="true" outlineLevel="0" collapsed="false">
      <c r="A95" s="54"/>
      <c r="B95" s="55" t="s">
        <v>94</v>
      </c>
      <c r="C95" s="56" t="s">
        <v>20</v>
      </c>
      <c r="D95" s="56"/>
      <c r="E95" s="56" t="s">
        <v>52</v>
      </c>
      <c r="F95" s="36"/>
      <c r="G95" s="37" t="s">
        <v>22</v>
      </c>
      <c r="H95" s="114" t="n">
        <v>4</v>
      </c>
      <c r="I95" s="61" t="n">
        <v>2</v>
      </c>
      <c r="J95" s="61" t="n">
        <v>2</v>
      </c>
      <c r="K95" s="62" t="n">
        <f aca="false">L95+M95</f>
        <v>0</v>
      </c>
      <c r="L95" s="62"/>
      <c r="M95" s="62"/>
      <c r="N95" s="61" t="n">
        <v>2</v>
      </c>
      <c r="O95" s="62" t="n">
        <f aca="false">P95+Q95</f>
        <v>0</v>
      </c>
      <c r="P95" s="62"/>
      <c r="Q95" s="63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54"/>
      <c r="B96" s="55"/>
      <c r="C96" s="55"/>
      <c r="D96" s="55"/>
      <c r="E96" s="55"/>
      <c r="F96" s="42"/>
      <c r="G96" s="43" t="s">
        <v>26</v>
      </c>
      <c r="H96" s="117" t="n">
        <v>3</v>
      </c>
      <c r="I96" s="58"/>
      <c r="J96" s="58"/>
      <c r="K96" s="59" t="n">
        <f aca="false">L96+M96</f>
        <v>0</v>
      </c>
      <c r="L96" s="59"/>
      <c r="M96" s="59"/>
      <c r="N96" s="58"/>
      <c r="O96" s="59" t="n">
        <f aca="false">P96+Q96</f>
        <v>0</v>
      </c>
      <c r="P96" s="59"/>
      <c r="Q96" s="60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 t="s">
        <v>95</v>
      </c>
      <c r="C97" s="35" t="s">
        <v>33</v>
      </c>
      <c r="D97" s="35" t="s">
        <v>96</v>
      </c>
      <c r="E97" s="35" t="s">
        <v>88</v>
      </c>
      <c r="F97" s="22"/>
      <c r="G97" s="21" t="s">
        <v>22</v>
      </c>
      <c r="H97" s="114" t="n">
        <v>7</v>
      </c>
      <c r="I97" s="61"/>
      <c r="J97" s="38"/>
      <c r="K97" s="62" t="n">
        <f aca="false">L97+M97</f>
        <v>0</v>
      </c>
      <c r="L97" s="62"/>
      <c r="M97" s="62"/>
      <c r="N97" s="61"/>
      <c r="O97" s="62" t="n">
        <f aca="false">P97+Q97</f>
        <v>0</v>
      </c>
      <c r="P97" s="62"/>
      <c r="Q97" s="6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23</v>
      </c>
      <c r="H98" s="117" t="n">
        <v>5</v>
      </c>
      <c r="I98" s="64"/>
      <c r="J98" s="64"/>
      <c r="K98" s="65" t="n">
        <f aca="false">L98+M98</f>
        <v>0</v>
      </c>
      <c r="L98" s="65"/>
      <c r="M98" s="65"/>
      <c r="N98" s="64"/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72"/>
      <c r="B99" s="73" t="s">
        <v>97</v>
      </c>
      <c r="C99" s="74" t="s">
        <v>20</v>
      </c>
      <c r="D99" s="74"/>
      <c r="E99" s="74" t="s">
        <v>98</v>
      </c>
      <c r="F99" s="20"/>
      <c r="G99" s="21" t="s">
        <v>22</v>
      </c>
      <c r="H99" s="114" t="n">
        <v>2</v>
      </c>
      <c r="I99" s="67"/>
      <c r="J99" s="67"/>
      <c r="K99" s="68" t="n">
        <f aca="false">L99+M99</f>
        <v>0</v>
      </c>
      <c r="L99" s="68"/>
      <c r="M99" s="68"/>
      <c r="N99" s="67" t="n">
        <v>1</v>
      </c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72"/>
      <c r="B100" s="73"/>
      <c r="C100" s="73"/>
      <c r="D100" s="73"/>
      <c r="E100" s="73"/>
      <c r="F100" s="42"/>
      <c r="G100" s="43" t="s">
        <v>23</v>
      </c>
      <c r="H100" s="117" t="n">
        <v>2</v>
      </c>
      <c r="I100" s="64" t="n">
        <v>6</v>
      </c>
      <c r="J100" s="64" t="n">
        <v>6</v>
      </c>
      <c r="K100" s="65" t="n">
        <f aca="false">L100+M100</f>
        <v>0</v>
      </c>
      <c r="L100" s="65"/>
      <c r="M100" s="65"/>
      <c r="N100" s="64" t="n">
        <v>2</v>
      </c>
      <c r="O100" s="65" t="n">
        <f aca="false">P100+Q100</f>
        <v>0</v>
      </c>
      <c r="P100" s="65"/>
      <c r="Q100" s="66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 t="s">
        <v>99</v>
      </c>
      <c r="C101" s="19" t="s">
        <v>33</v>
      </c>
      <c r="D101" s="19" t="s">
        <v>100</v>
      </c>
      <c r="E101" s="19" t="s">
        <v>101</v>
      </c>
      <c r="F101" s="20"/>
      <c r="G101" s="21" t="s">
        <v>22</v>
      </c>
      <c r="H101" s="114" t="n">
        <v>6</v>
      </c>
      <c r="I101" s="67" t="n">
        <v>1</v>
      </c>
      <c r="J101" s="67" t="n">
        <v>1</v>
      </c>
      <c r="K101" s="68" t="n">
        <f aca="false">L101+M101</f>
        <v>0</v>
      </c>
      <c r="L101" s="68"/>
      <c r="M101" s="68"/>
      <c r="N101" s="67" t="n">
        <v>6</v>
      </c>
      <c r="O101" s="68" t="n">
        <f aca="false">P101+Q101</f>
        <v>0</v>
      </c>
      <c r="P101" s="68"/>
      <c r="Q101" s="69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18"/>
      <c r="C102" s="18"/>
      <c r="D102" s="18"/>
      <c r="E102" s="18"/>
      <c r="F102" s="80"/>
      <c r="G102" s="81" t="s">
        <v>26</v>
      </c>
      <c r="H102" s="119" t="n">
        <v>1</v>
      </c>
      <c r="I102" s="82"/>
      <c r="J102" s="82"/>
      <c r="K102" s="83" t="n">
        <f aca="false">L102+M102</f>
        <v>0</v>
      </c>
      <c r="L102" s="83"/>
      <c r="M102" s="83"/>
      <c r="N102" s="82" t="n">
        <v>1</v>
      </c>
      <c r="O102" s="83" t="n">
        <f aca="false">P102+Q102</f>
        <v>0</v>
      </c>
      <c r="P102" s="83"/>
      <c r="Q102" s="84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/>
      <c r="C103" s="18"/>
      <c r="D103" s="18"/>
      <c r="E103" s="18"/>
      <c r="F103" s="26"/>
      <c r="G103" s="27" t="s">
        <v>23</v>
      </c>
      <c r="H103" s="115"/>
      <c r="I103" s="58"/>
      <c r="J103" s="58"/>
      <c r="K103" s="59" t="n">
        <f aca="false">L103+M103</f>
        <v>0</v>
      </c>
      <c r="L103" s="59"/>
      <c r="M103" s="59"/>
      <c r="N103" s="58"/>
      <c r="O103" s="59" t="n">
        <f aca="false">P103+Q103</f>
        <v>0</v>
      </c>
      <c r="P103" s="59"/>
      <c r="Q103" s="60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 t="s">
        <v>102</v>
      </c>
      <c r="C104" s="35" t="s">
        <v>20</v>
      </c>
      <c r="D104" s="35"/>
      <c r="E104" s="35" t="s">
        <v>25</v>
      </c>
      <c r="F104" s="36"/>
      <c r="G104" s="21" t="s">
        <v>22</v>
      </c>
      <c r="H104" s="119" t="n">
        <v>5</v>
      </c>
      <c r="I104" s="61"/>
      <c r="J104" s="61"/>
      <c r="K104" s="62" t="n">
        <f aca="false">L104+M104</f>
        <v>0</v>
      </c>
      <c r="L104" s="62"/>
      <c r="M104" s="62"/>
      <c r="N104" s="61"/>
      <c r="O104" s="62" t="n">
        <f aca="false">P104+Q104</f>
        <v>0</v>
      </c>
      <c r="P104" s="62"/>
      <c r="Q104" s="63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33"/>
      <c r="B105" s="34"/>
      <c r="C105" s="34"/>
      <c r="D105" s="34"/>
      <c r="E105" s="34"/>
      <c r="F105" s="42"/>
      <c r="G105" s="43" t="s">
        <v>26</v>
      </c>
      <c r="H105" s="118" t="n">
        <v>2</v>
      </c>
      <c r="I105" s="64"/>
      <c r="J105" s="64"/>
      <c r="K105" s="65" t="n">
        <f aca="false">L105+M105</f>
        <v>0</v>
      </c>
      <c r="L105" s="65"/>
      <c r="M105" s="65"/>
      <c r="N105" s="64"/>
      <c r="O105" s="65" t="n">
        <f aca="false">P105+Q105</f>
        <v>0</v>
      </c>
      <c r="P105" s="65"/>
      <c r="Q105" s="66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" hidden="false" customHeight="true" outlineLevel="0" collapsed="false">
      <c r="A106" s="17"/>
      <c r="B106" s="18" t="s">
        <v>103</v>
      </c>
      <c r="C106" s="19" t="s">
        <v>20</v>
      </c>
      <c r="D106" s="19"/>
      <c r="E106" s="19" t="s">
        <v>52</v>
      </c>
      <c r="F106" s="20"/>
      <c r="G106" s="21" t="s">
        <v>22</v>
      </c>
      <c r="H106" s="116"/>
      <c r="I106" s="67"/>
      <c r="J106" s="67"/>
      <c r="K106" s="68" t="n">
        <f aca="false">L106+M106</f>
        <v>0</v>
      </c>
      <c r="L106" s="68"/>
      <c r="M106" s="68"/>
      <c r="N106" s="67"/>
      <c r="O106" s="68" t="n">
        <f aca="false">P106+Q106</f>
        <v>0</v>
      </c>
      <c r="P106" s="68"/>
      <c r="Q106" s="69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/>
      <c r="C107" s="18"/>
      <c r="D107" s="18"/>
      <c r="E107" s="18"/>
      <c r="F107" s="26"/>
      <c r="G107" s="27" t="s">
        <v>26</v>
      </c>
      <c r="H107" s="117" t="n">
        <v>3</v>
      </c>
      <c r="I107" s="58"/>
      <c r="J107" s="58"/>
      <c r="K107" s="59" t="n">
        <f aca="false">L107+M107</f>
        <v>0</v>
      </c>
      <c r="L107" s="59"/>
      <c r="M107" s="59"/>
      <c r="N107" s="58" t="n">
        <v>1</v>
      </c>
      <c r="O107" s="59" t="n">
        <f aca="false">P107+Q107</f>
        <v>0</v>
      </c>
      <c r="P107" s="59"/>
      <c r="Q107" s="60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" hidden="false" customHeight="true" outlineLevel="0" collapsed="false">
      <c r="A108" s="54"/>
      <c r="B108" s="55" t="s">
        <v>104</v>
      </c>
      <c r="C108" s="56" t="s">
        <v>20</v>
      </c>
      <c r="D108" s="56"/>
      <c r="E108" s="56" t="s">
        <v>25</v>
      </c>
      <c r="F108" s="22"/>
      <c r="G108" s="21" t="s">
        <v>22</v>
      </c>
      <c r="H108" s="116"/>
      <c r="I108" s="61"/>
      <c r="J108" s="61"/>
      <c r="K108" s="62" t="n">
        <f aca="false">L108+M108</f>
        <v>0</v>
      </c>
      <c r="L108" s="62"/>
      <c r="M108" s="62"/>
      <c r="N108" s="61"/>
      <c r="O108" s="62" t="n">
        <f aca="false">P108+Q108</f>
        <v>0</v>
      </c>
      <c r="P108" s="62"/>
      <c r="Q108" s="6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54"/>
      <c r="B109" s="55"/>
      <c r="C109" s="55"/>
      <c r="D109" s="55"/>
      <c r="E109" s="55"/>
      <c r="F109" s="57"/>
      <c r="G109" s="27" t="s">
        <v>26</v>
      </c>
      <c r="H109" s="115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33"/>
      <c r="B110" s="34" t="s">
        <v>105</v>
      </c>
      <c r="C110" s="35" t="s">
        <v>33</v>
      </c>
      <c r="D110" s="35" t="s">
        <v>106</v>
      </c>
      <c r="E110" s="35" t="s">
        <v>107</v>
      </c>
      <c r="F110" s="36"/>
      <c r="G110" s="21" t="s">
        <v>22</v>
      </c>
      <c r="H110" s="116"/>
      <c r="I110" s="61"/>
      <c r="J110" s="61"/>
      <c r="K110" s="62" t="n">
        <f aca="false">L110+M110</f>
        <v>0</v>
      </c>
      <c r="L110" s="62"/>
      <c r="M110" s="62"/>
      <c r="N110" s="61" t="n">
        <v>3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33"/>
      <c r="B111" s="34"/>
      <c r="C111" s="34"/>
      <c r="D111" s="34"/>
      <c r="E111" s="34"/>
      <c r="F111" s="42"/>
      <c r="G111" s="43" t="s">
        <v>26</v>
      </c>
      <c r="H111" s="115"/>
      <c r="I111" s="64"/>
      <c r="J111" s="64"/>
      <c r="K111" s="65" t="n">
        <f aca="false">L111+M111</f>
        <v>0</v>
      </c>
      <c r="L111" s="65"/>
      <c r="M111" s="65"/>
      <c r="N111" s="64" t="n">
        <v>5</v>
      </c>
      <c r="O111" s="65" t="n">
        <f aca="false">P111+Q111</f>
        <v>0</v>
      </c>
      <c r="P111" s="65"/>
      <c r="Q111" s="66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72"/>
      <c r="B112" s="73" t="s">
        <v>108</v>
      </c>
      <c r="C112" s="74" t="s">
        <v>33</v>
      </c>
      <c r="D112" s="74" t="s">
        <v>109</v>
      </c>
      <c r="E112" s="74" t="s">
        <v>25</v>
      </c>
      <c r="F112" s="20"/>
      <c r="G112" s="21" t="s">
        <v>22</v>
      </c>
      <c r="H112" s="114" t="n">
        <v>2</v>
      </c>
      <c r="I112" s="67" t="n">
        <v>2</v>
      </c>
      <c r="J112" s="67" t="n">
        <v>2</v>
      </c>
      <c r="K112" s="68" t="n">
        <f aca="false">L112+M112</f>
        <v>0</v>
      </c>
      <c r="L112" s="68"/>
      <c r="M112" s="68"/>
      <c r="N112" s="67" t="n">
        <v>7</v>
      </c>
      <c r="O112" s="68" t="n">
        <f aca="false">P112+Q112</f>
        <v>0</v>
      </c>
      <c r="P112" s="68"/>
      <c r="Q112" s="69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72"/>
      <c r="B113" s="73"/>
      <c r="C113" s="73"/>
      <c r="D113" s="73"/>
      <c r="E113" s="73"/>
      <c r="F113" s="42"/>
      <c r="G113" s="43" t="s">
        <v>26</v>
      </c>
      <c r="H113" s="117" t="n">
        <v>2</v>
      </c>
      <c r="I113" s="64"/>
      <c r="J113" s="64"/>
      <c r="K113" s="65" t="n">
        <f aca="false">L113+M113</f>
        <v>0</v>
      </c>
      <c r="L113" s="65"/>
      <c r="M113" s="65"/>
      <c r="N113" s="64" t="n">
        <v>2</v>
      </c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110</v>
      </c>
      <c r="C114" s="19" t="s">
        <v>33</v>
      </c>
      <c r="D114" s="19" t="s">
        <v>111</v>
      </c>
      <c r="E114" s="19" t="s">
        <v>25</v>
      </c>
      <c r="F114" s="20"/>
      <c r="G114" s="21" t="s">
        <v>22</v>
      </c>
      <c r="H114" s="114" t="n">
        <v>6</v>
      </c>
      <c r="I114" s="67" t="n">
        <v>1</v>
      </c>
      <c r="J114" s="22" t="n">
        <v>1</v>
      </c>
      <c r="K114" s="68" t="n">
        <f aca="false">L114+M114</f>
        <v>0</v>
      </c>
      <c r="L114" s="68"/>
      <c r="M114" s="68"/>
      <c r="N114" s="67" t="n">
        <v>5</v>
      </c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26</v>
      </c>
      <c r="H115" s="115"/>
      <c r="I115" s="58"/>
      <c r="J115" s="58"/>
      <c r="K115" s="59" t="n">
        <f aca="false">L115+M115</f>
        <v>0</v>
      </c>
      <c r="L115" s="59"/>
      <c r="M115" s="59"/>
      <c r="N115" s="58" t="n">
        <v>2</v>
      </c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33"/>
      <c r="B116" s="34" t="s">
        <v>112</v>
      </c>
      <c r="C116" s="35" t="s">
        <v>20</v>
      </c>
      <c r="D116" s="35"/>
      <c r="E116" s="35" t="s">
        <v>25</v>
      </c>
      <c r="F116" s="36"/>
      <c r="G116" s="21" t="s">
        <v>22</v>
      </c>
      <c r="H116" s="114" t="n">
        <v>2</v>
      </c>
      <c r="I116" s="61" t="n">
        <v>1</v>
      </c>
      <c r="J116" s="61" t="n">
        <v>1</v>
      </c>
      <c r="K116" s="94" t="n">
        <f aca="false">L116+M116</f>
        <v>0</v>
      </c>
      <c r="L116" s="94"/>
      <c r="M116" s="62"/>
      <c r="N116" s="61"/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33"/>
      <c r="B117" s="34"/>
      <c r="C117" s="34"/>
      <c r="D117" s="34"/>
      <c r="E117" s="34"/>
      <c r="F117" s="26"/>
      <c r="G117" s="27" t="s">
        <v>26</v>
      </c>
      <c r="H117" s="117" t="n">
        <v>1</v>
      </c>
      <c r="I117" s="64"/>
      <c r="J117" s="64"/>
      <c r="K117" s="65" t="n">
        <f aca="false">L117+M117</f>
        <v>0</v>
      </c>
      <c r="L117" s="65"/>
      <c r="M117" s="65"/>
      <c r="N117" s="64"/>
      <c r="O117" s="65" t="n">
        <f aca="false">P117+Q117</f>
        <v>0</v>
      </c>
      <c r="P117" s="65"/>
      <c r="Q117" s="66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" hidden="false" customHeight="true" outlineLevel="0" collapsed="false">
      <c r="A118" s="17"/>
      <c r="B118" s="18" t="s">
        <v>113</v>
      </c>
      <c r="C118" s="19" t="s">
        <v>20</v>
      </c>
      <c r="D118" s="19"/>
      <c r="E118" s="19" t="s">
        <v>31</v>
      </c>
      <c r="F118" s="36"/>
      <c r="G118" s="21" t="s">
        <v>22</v>
      </c>
      <c r="H118" s="114" t="n">
        <v>3</v>
      </c>
      <c r="I118" s="67" t="n">
        <v>3</v>
      </c>
      <c r="J118" s="67" t="n">
        <v>3</v>
      </c>
      <c r="K118" s="68" t="n">
        <f aca="false">L118+M118</f>
        <v>0</v>
      </c>
      <c r="L118" s="68"/>
      <c r="M118" s="68"/>
      <c r="N118" s="67" t="n">
        <v>1</v>
      </c>
      <c r="O118" s="68" t="n">
        <f aca="false">P118+Q118</f>
        <v>0</v>
      </c>
      <c r="P118" s="68"/>
      <c r="Q118" s="69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57"/>
      <c r="G119" s="27" t="s">
        <v>26</v>
      </c>
      <c r="H119" s="115"/>
      <c r="I119" s="58"/>
      <c r="J119" s="58"/>
      <c r="K119" s="59" t="n">
        <f aca="false">L119+M119</f>
        <v>0</v>
      </c>
      <c r="L119" s="59"/>
      <c r="M119" s="59"/>
      <c r="N119" s="58"/>
      <c r="O119" s="59" t="n">
        <f aca="false">P119+Q119</f>
        <v>0</v>
      </c>
      <c r="P119" s="59"/>
      <c r="Q119" s="60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" hidden="false" customHeight="true" outlineLevel="0" collapsed="false">
      <c r="A120" s="33"/>
      <c r="B120" s="34" t="s">
        <v>114</v>
      </c>
      <c r="C120" s="35" t="s">
        <v>20</v>
      </c>
      <c r="D120" s="95"/>
      <c r="E120" s="35" t="s">
        <v>25</v>
      </c>
      <c r="F120" s="71"/>
      <c r="G120" s="21" t="s">
        <v>22</v>
      </c>
      <c r="H120" s="116"/>
      <c r="I120" s="61"/>
      <c r="J120" s="61"/>
      <c r="K120" s="62" t="n">
        <f aca="false">L120+M120</f>
        <v>0</v>
      </c>
      <c r="L120" s="62"/>
      <c r="M120" s="62"/>
      <c r="N120" s="61"/>
      <c r="O120" s="62" t="n">
        <f aca="false">P120+Q120</f>
        <v>0</v>
      </c>
      <c r="P120" s="62"/>
      <c r="Q120" s="63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33"/>
      <c r="B121" s="34"/>
      <c r="C121" s="34"/>
      <c r="D121" s="34"/>
      <c r="E121" s="34"/>
      <c r="F121" s="42"/>
      <c r="G121" s="43" t="s">
        <v>26</v>
      </c>
      <c r="H121" s="115"/>
      <c r="I121" s="64"/>
      <c r="J121" s="64"/>
      <c r="K121" s="65" t="n">
        <f aca="false">L121+M121</f>
        <v>0</v>
      </c>
      <c r="L121" s="65"/>
      <c r="M121" s="65"/>
      <c r="N121" s="64"/>
      <c r="O121" s="65" t="n">
        <f aca="false">P121+Q121</f>
        <v>0</v>
      </c>
      <c r="P121" s="65"/>
      <c r="Q121" s="66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 t="s">
        <v>115</v>
      </c>
      <c r="C122" s="19" t="s">
        <v>20</v>
      </c>
      <c r="D122" s="19"/>
      <c r="E122" s="19" t="s">
        <v>116</v>
      </c>
      <c r="F122" s="20"/>
      <c r="G122" s="21" t="s">
        <v>22</v>
      </c>
      <c r="H122" s="114" t="n">
        <v>3</v>
      </c>
      <c r="I122" s="67" t="n">
        <v>1</v>
      </c>
      <c r="J122" s="67" t="n">
        <v>1</v>
      </c>
      <c r="K122" s="68" t="n">
        <f aca="false">L122+M122</f>
        <v>0</v>
      </c>
      <c r="L122" s="68"/>
      <c r="M122" s="68"/>
      <c r="N122" s="67" t="n">
        <v>3</v>
      </c>
      <c r="O122" s="68" t="n">
        <f aca="false">P122+Q122</f>
        <v>0</v>
      </c>
      <c r="P122" s="68"/>
      <c r="Q122" s="69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/>
      <c r="C123" s="18"/>
      <c r="D123" s="18"/>
      <c r="E123" s="18"/>
      <c r="F123" s="26"/>
      <c r="G123" s="27" t="s">
        <v>26</v>
      </c>
      <c r="H123" s="117" t="n">
        <v>4</v>
      </c>
      <c r="I123" s="58"/>
      <c r="J123" s="58"/>
      <c r="K123" s="59" t="n">
        <f aca="false">L123+M123</f>
        <v>0</v>
      </c>
      <c r="L123" s="59"/>
      <c r="M123" s="59"/>
      <c r="N123" s="58" t="n">
        <v>2</v>
      </c>
      <c r="O123" s="59" t="n">
        <f aca="false">P123+Q123</f>
        <v>0</v>
      </c>
      <c r="P123" s="59"/>
      <c r="Q123" s="60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" hidden="false" customHeight="true" outlineLevel="0" collapsed="false">
      <c r="A124" s="33"/>
      <c r="B124" s="34" t="s">
        <v>117</v>
      </c>
      <c r="C124" s="35" t="s">
        <v>33</v>
      </c>
      <c r="D124" s="35" t="s">
        <v>118</v>
      </c>
      <c r="E124" s="35" t="s">
        <v>25</v>
      </c>
      <c r="F124" s="89"/>
      <c r="G124" s="21" t="s">
        <v>22</v>
      </c>
      <c r="H124" s="116"/>
      <c r="I124" s="61"/>
      <c r="J124" s="61"/>
      <c r="K124" s="62" t="n">
        <f aca="false">L124+M124</f>
        <v>0</v>
      </c>
      <c r="L124" s="62"/>
      <c r="M124" s="62"/>
      <c r="N124" s="61"/>
      <c r="O124" s="62" t="n">
        <f aca="false">P124+Q124</f>
        <v>0</v>
      </c>
      <c r="P124" s="62"/>
      <c r="Q124" s="63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" hidden="false" customHeight="false" outlineLevel="0" collapsed="false">
      <c r="A125" s="33"/>
      <c r="B125" s="34"/>
      <c r="C125" s="34"/>
      <c r="D125" s="34"/>
      <c r="E125" s="34"/>
      <c r="F125" s="42"/>
      <c r="G125" s="37" t="s">
        <v>23</v>
      </c>
      <c r="H125" s="116"/>
      <c r="I125" s="61"/>
      <c r="J125" s="61"/>
      <c r="K125" s="62" t="n">
        <f aca="false">L125+M125</f>
        <v>0</v>
      </c>
      <c r="L125" s="62"/>
      <c r="M125" s="62"/>
      <c r="N125" s="61" t="n">
        <v>1</v>
      </c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" hidden="false" customHeight="false" outlineLevel="0" collapsed="false">
      <c r="A126" s="33"/>
      <c r="B126" s="34"/>
      <c r="C126" s="34"/>
      <c r="D126" s="34"/>
      <c r="E126" s="34"/>
      <c r="F126" s="42"/>
      <c r="G126" s="43" t="s">
        <v>26</v>
      </c>
      <c r="H126" s="115"/>
      <c r="I126" s="64"/>
      <c r="J126" s="64"/>
      <c r="K126" s="65" t="n">
        <f aca="false">L126+M126</f>
        <v>0</v>
      </c>
      <c r="L126" s="65"/>
      <c r="M126" s="65"/>
      <c r="N126" s="64" t="n">
        <v>3</v>
      </c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119</v>
      </c>
      <c r="C127" s="19" t="s">
        <v>20</v>
      </c>
      <c r="D127" s="19"/>
      <c r="E127" s="19" t="s">
        <v>25</v>
      </c>
      <c r="F127" s="20"/>
      <c r="G127" s="21" t="s">
        <v>22</v>
      </c>
      <c r="H127" s="116"/>
      <c r="I127" s="67"/>
      <c r="J127" s="67"/>
      <c r="K127" s="68" t="n">
        <f aca="false">L127+M127</f>
        <v>0</v>
      </c>
      <c r="L127" s="68"/>
      <c r="M127" s="68"/>
      <c r="N127" s="67" t="n">
        <v>1</v>
      </c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26"/>
      <c r="G128" s="27" t="s">
        <v>26</v>
      </c>
      <c r="H128" s="115"/>
      <c r="I128" s="58"/>
      <c r="J128" s="58"/>
      <c r="K128" s="59" t="n">
        <f aca="false">L128+M128</f>
        <v>0</v>
      </c>
      <c r="L128" s="59"/>
      <c r="M128" s="59"/>
      <c r="N128" s="58" t="n">
        <v>1</v>
      </c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54"/>
      <c r="B129" s="55" t="s">
        <v>120</v>
      </c>
      <c r="C129" s="56" t="s">
        <v>20</v>
      </c>
      <c r="D129" s="56"/>
      <c r="E129" s="56" t="s">
        <v>25</v>
      </c>
      <c r="F129" s="36"/>
      <c r="G129" s="21" t="s">
        <v>22</v>
      </c>
      <c r="H129" s="116"/>
      <c r="I129" s="61"/>
      <c r="J129" s="61"/>
      <c r="K129" s="62" t="n">
        <f aca="false">L129+M129</f>
        <v>0</v>
      </c>
      <c r="L129" s="62"/>
      <c r="M129" s="62"/>
      <c r="N129" s="61" t="n">
        <v>3</v>
      </c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54"/>
      <c r="B130" s="55"/>
      <c r="C130" s="55"/>
      <c r="D130" s="55"/>
      <c r="E130" s="55"/>
      <c r="F130" s="57"/>
      <c r="G130" s="27" t="s">
        <v>26</v>
      </c>
      <c r="H130" s="115"/>
      <c r="I130" s="58"/>
      <c r="J130" s="58"/>
      <c r="K130" s="59" t="n">
        <f aca="false">L130+M130</f>
        <v>0</v>
      </c>
      <c r="L130" s="59"/>
      <c r="M130" s="59"/>
      <c r="N130" s="58"/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33"/>
      <c r="B131" s="34" t="s">
        <v>152</v>
      </c>
      <c r="C131" s="35" t="s">
        <v>20</v>
      </c>
      <c r="D131" s="35"/>
      <c r="E131" s="35" t="s">
        <v>25</v>
      </c>
      <c r="F131" s="36"/>
      <c r="G131" s="21" t="s">
        <v>22</v>
      </c>
      <c r="H131" s="116"/>
      <c r="I131" s="61"/>
      <c r="J131" s="61"/>
      <c r="K131" s="62" t="n">
        <f aca="false">L131+M131</f>
        <v>0</v>
      </c>
      <c r="L131" s="62"/>
      <c r="M131" s="62"/>
      <c r="N131" s="61" t="n">
        <v>1</v>
      </c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42"/>
      <c r="G132" s="43" t="s">
        <v>26</v>
      </c>
      <c r="H132" s="117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122</v>
      </c>
      <c r="C133" s="19" t="s">
        <v>20</v>
      </c>
      <c r="D133" s="19"/>
      <c r="E133" s="19" t="s">
        <v>116</v>
      </c>
      <c r="F133" s="20"/>
      <c r="G133" s="21" t="s">
        <v>22</v>
      </c>
      <c r="H133" s="114" t="n">
        <v>6</v>
      </c>
      <c r="I133" s="67" t="n">
        <v>4</v>
      </c>
      <c r="J133" s="67" t="n">
        <v>5</v>
      </c>
      <c r="K133" s="68" t="n">
        <f aca="false">L133+M133</f>
        <v>0</v>
      </c>
      <c r="L133" s="68"/>
      <c r="M133" s="68"/>
      <c r="N133" s="67" t="n">
        <v>11</v>
      </c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115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33"/>
      <c r="B135" s="34" t="s">
        <v>123</v>
      </c>
      <c r="C135" s="35" t="s">
        <v>20</v>
      </c>
      <c r="D135" s="35"/>
      <c r="E135" s="35" t="s">
        <v>25</v>
      </c>
      <c r="F135" s="36"/>
      <c r="G135" s="21" t="s">
        <v>22</v>
      </c>
      <c r="H135" s="114" t="n">
        <v>2</v>
      </c>
      <c r="I135" s="61" t="n">
        <v>2</v>
      </c>
      <c r="J135" s="61" t="n">
        <v>2</v>
      </c>
      <c r="K135" s="62" t="n">
        <f aca="false">L135+M135</f>
        <v>0</v>
      </c>
      <c r="L135" s="62"/>
      <c r="M135" s="62"/>
      <c r="N135" s="61" t="n">
        <v>1</v>
      </c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/>
      <c r="G136" s="43" t="s">
        <v>26</v>
      </c>
      <c r="H136" s="115"/>
      <c r="I136" s="64"/>
      <c r="J136" s="64"/>
      <c r="K136" s="65" t="n">
        <f aca="false">L136+M136</f>
        <v>0</v>
      </c>
      <c r="L136" s="65"/>
      <c r="M136" s="65"/>
      <c r="N136" s="64" t="n">
        <v>1</v>
      </c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124</v>
      </c>
      <c r="C137" s="19" t="s">
        <v>20</v>
      </c>
      <c r="D137" s="19"/>
      <c r="E137" s="19" t="s">
        <v>88</v>
      </c>
      <c r="F137" s="20"/>
      <c r="G137" s="21" t="s">
        <v>22</v>
      </c>
      <c r="H137" s="114" t="n">
        <v>2</v>
      </c>
      <c r="I137" s="67"/>
      <c r="J137" s="67"/>
      <c r="K137" s="68" t="n">
        <f aca="false">L137+M137</f>
        <v>0</v>
      </c>
      <c r="L137" s="68"/>
      <c r="M137" s="68"/>
      <c r="N137" s="67" t="n">
        <v>3</v>
      </c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/>
      <c r="G138" s="27" t="s">
        <v>23</v>
      </c>
      <c r="H138" s="117" t="n">
        <v>1</v>
      </c>
      <c r="I138" s="58" t="n">
        <v>2</v>
      </c>
      <c r="J138" s="58" t="n">
        <v>2</v>
      </c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125</v>
      </c>
      <c r="C139" s="35" t="s">
        <v>33</v>
      </c>
      <c r="D139" s="35" t="s">
        <v>126</v>
      </c>
      <c r="E139" s="35" t="s">
        <v>127</v>
      </c>
      <c r="F139" s="36"/>
      <c r="G139" s="21" t="s">
        <v>22</v>
      </c>
      <c r="H139" s="114" t="n">
        <v>4</v>
      </c>
      <c r="I139" s="61" t="n">
        <v>1</v>
      </c>
      <c r="J139" s="61" t="n">
        <v>1</v>
      </c>
      <c r="K139" s="62" t="n">
        <f aca="false">L139+M139</f>
        <v>0</v>
      </c>
      <c r="L139" s="62"/>
      <c r="M139" s="62"/>
      <c r="N139" s="61" t="n">
        <v>5</v>
      </c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42"/>
      <c r="G140" s="43" t="s">
        <v>23</v>
      </c>
      <c r="H140" s="117" t="n">
        <v>17</v>
      </c>
      <c r="I140" s="64" t="n">
        <v>2</v>
      </c>
      <c r="J140" s="64" t="n">
        <v>2</v>
      </c>
      <c r="K140" s="65" t="n">
        <f aca="false">L140+M140</f>
        <v>0</v>
      </c>
      <c r="L140" s="65"/>
      <c r="M140" s="65"/>
      <c r="N140" s="64" t="n">
        <v>1</v>
      </c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128</v>
      </c>
      <c r="C141" s="19" t="s">
        <v>20</v>
      </c>
      <c r="D141" s="19"/>
      <c r="E141" s="19" t="s">
        <v>25</v>
      </c>
      <c r="F141" s="20"/>
      <c r="G141" s="21" t="s">
        <v>22</v>
      </c>
      <c r="H141" s="114" t="n">
        <v>8</v>
      </c>
      <c r="I141" s="67" t="n">
        <v>4</v>
      </c>
      <c r="J141" s="67" t="n">
        <v>4</v>
      </c>
      <c r="K141" s="68" t="n">
        <f aca="false">L141+M141</f>
        <v>0</v>
      </c>
      <c r="L141" s="68"/>
      <c r="M141" s="68"/>
      <c r="N141" s="67" t="n">
        <v>11</v>
      </c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115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.75" hidden="false" customHeight="true" outlineLevel="0" collapsed="false">
      <c r="A143" s="72"/>
      <c r="B143" s="73" t="s">
        <v>129</v>
      </c>
      <c r="C143" s="74" t="s">
        <v>38</v>
      </c>
      <c r="D143" s="74" t="s">
        <v>130</v>
      </c>
      <c r="E143" s="74" t="s">
        <v>25</v>
      </c>
      <c r="F143" s="20"/>
      <c r="G143" s="21" t="s">
        <v>22</v>
      </c>
      <c r="H143" s="114" t="n">
        <v>5</v>
      </c>
      <c r="I143" s="67" t="n">
        <v>4</v>
      </c>
      <c r="J143" s="67" t="n">
        <v>4</v>
      </c>
      <c r="K143" s="68" t="n">
        <f aca="false">L143+M143</f>
        <v>0</v>
      </c>
      <c r="L143" s="68"/>
      <c r="M143" s="68"/>
      <c r="N143" s="67" t="n">
        <v>1</v>
      </c>
      <c r="O143" s="68" t="n">
        <f aca="false">P143+Q143</f>
        <v>0</v>
      </c>
      <c r="P143" s="68"/>
      <c r="Q143" s="69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72"/>
      <c r="B144" s="73"/>
      <c r="C144" s="73"/>
      <c r="D144" s="73"/>
      <c r="E144" s="73"/>
      <c r="F144" s="42"/>
      <c r="G144" s="43" t="s">
        <v>26</v>
      </c>
      <c r="H144" s="115"/>
      <c r="I144" s="64"/>
      <c r="J144" s="64"/>
      <c r="K144" s="65" t="n">
        <f aca="false">L144+M144</f>
        <v>0</v>
      </c>
      <c r="L144" s="65"/>
      <c r="M144" s="65"/>
      <c r="N144" s="64" t="n">
        <v>3</v>
      </c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6.5" hidden="false" customHeight="true" outlineLevel="0" collapsed="false">
      <c r="A145" s="17"/>
      <c r="B145" s="18" t="s">
        <v>131</v>
      </c>
      <c r="C145" s="19" t="s">
        <v>38</v>
      </c>
      <c r="D145" s="19" t="s">
        <v>130</v>
      </c>
      <c r="E145" s="19" t="s">
        <v>25</v>
      </c>
      <c r="F145" s="20"/>
      <c r="G145" s="21" t="s">
        <v>22</v>
      </c>
      <c r="H145" s="114" t="n">
        <v>4</v>
      </c>
      <c r="I145" s="67" t="n">
        <v>2</v>
      </c>
      <c r="J145" s="67" t="n">
        <v>3</v>
      </c>
      <c r="K145" s="68" t="n">
        <f aca="false">L145+M145</f>
        <v>0</v>
      </c>
      <c r="L145" s="68"/>
      <c r="M145" s="68"/>
      <c r="N145" s="67" t="n">
        <v>3</v>
      </c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6.5" hidden="false" customHeight="true" outlineLevel="0" collapsed="false">
      <c r="A146" s="17"/>
      <c r="B146" s="18"/>
      <c r="C146" s="18"/>
      <c r="D146" s="18"/>
      <c r="E146" s="18"/>
      <c r="F146" s="26"/>
      <c r="G146" s="27" t="s">
        <v>26</v>
      </c>
      <c r="H146" s="118" t="n">
        <v>1</v>
      </c>
      <c r="I146" s="58"/>
      <c r="J146" s="58"/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96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6.5" hidden="false" customHeight="true" outlineLevel="0" collapsed="false">
      <c r="A147" s="33"/>
      <c r="B147" s="34" t="s">
        <v>132</v>
      </c>
      <c r="C147" s="35" t="s">
        <v>20</v>
      </c>
      <c r="D147" s="35"/>
      <c r="E147" s="35" t="s">
        <v>69</v>
      </c>
      <c r="F147" s="38"/>
      <c r="G147" s="21" t="s">
        <v>22</v>
      </c>
      <c r="H147" s="114" t="n">
        <v>2</v>
      </c>
      <c r="I147" s="61"/>
      <c r="J147" s="61"/>
      <c r="K147" s="62" t="n">
        <f aca="false">L147+M147</f>
        <v>0</v>
      </c>
      <c r="L147" s="62"/>
      <c r="M147" s="62"/>
      <c r="N147" s="61"/>
      <c r="O147" s="62" t="n">
        <f aca="false">P147+Q147</f>
        <v>0</v>
      </c>
      <c r="P147" s="62"/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6.5" hidden="false" customHeight="true" outlineLevel="0" collapsed="false">
      <c r="A148" s="33"/>
      <c r="B148" s="34"/>
      <c r="C148" s="34"/>
      <c r="D148" s="34"/>
      <c r="E148" s="34"/>
      <c r="F148" s="42"/>
      <c r="G148" s="43" t="s">
        <v>26</v>
      </c>
      <c r="H148" s="118" t="n">
        <v>1</v>
      </c>
      <c r="I148" s="64"/>
      <c r="J148" s="64"/>
      <c r="K148" s="65" t="n">
        <f aca="false">L148+M148</f>
        <v>0</v>
      </c>
      <c r="L148" s="65"/>
      <c r="M148" s="65"/>
      <c r="N148" s="64"/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6.5" hidden="false" customHeight="true" outlineLevel="0" collapsed="false">
      <c r="A149" s="72"/>
      <c r="B149" s="73" t="s">
        <v>133</v>
      </c>
      <c r="C149" s="74" t="s">
        <v>20</v>
      </c>
      <c r="D149" s="74"/>
      <c r="E149" s="74" t="s">
        <v>25</v>
      </c>
      <c r="F149" s="22"/>
      <c r="G149" s="21" t="s">
        <v>22</v>
      </c>
      <c r="H149" s="114" t="n">
        <v>1</v>
      </c>
      <c r="I149" s="67"/>
      <c r="J149" s="67"/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6.5" hidden="false" customHeight="true" outlineLevel="0" collapsed="false">
      <c r="A150" s="72"/>
      <c r="B150" s="73"/>
      <c r="C150" s="73"/>
      <c r="D150" s="73"/>
      <c r="E150" s="73"/>
      <c r="F150" s="42"/>
      <c r="G150" s="43" t="s">
        <v>26</v>
      </c>
      <c r="H150" s="117" t="n">
        <v>1</v>
      </c>
      <c r="I150" s="64"/>
      <c r="J150" s="64"/>
      <c r="K150" s="65" t="n">
        <f aca="false">L150+M150</f>
        <v>0</v>
      </c>
      <c r="L150" s="65"/>
      <c r="M150" s="65"/>
      <c r="N150" s="64"/>
      <c r="O150" s="65" t="n">
        <f aca="false">P150+Q150</f>
        <v>0</v>
      </c>
      <c r="P150" s="65"/>
      <c r="Q150" s="66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6.5" hidden="false" customHeight="true" outlineLevel="0" collapsed="false">
      <c r="A151" s="72"/>
      <c r="B151" s="73" t="s">
        <v>134</v>
      </c>
      <c r="C151" s="74" t="s">
        <v>20</v>
      </c>
      <c r="D151" s="74"/>
      <c r="E151" s="74" t="s">
        <v>25</v>
      </c>
      <c r="F151" s="20"/>
      <c r="G151" s="21" t="s">
        <v>22</v>
      </c>
      <c r="H151" s="116"/>
      <c r="I151" s="67"/>
      <c r="J151" s="67"/>
      <c r="K151" s="68" t="n">
        <f aca="false">L151+M151</f>
        <v>0</v>
      </c>
      <c r="L151" s="68"/>
      <c r="M151" s="68"/>
      <c r="N151" s="67"/>
      <c r="O151" s="68" t="n">
        <f aca="false">P151+Q151</f>
        <v>0</v>
      </c>
      <c r="P151" s="68"/>
      <c r="Q151" s="69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72"/>
      <c r="B152" s="73"/>
      <c r="C152" s="73"/>
      <c r="D152" s="73"/>
      <c r="E152" s="73"/>
      <c r="F152" s="42"/>
      <c r="G152" s="43" t="s">
        <v>26</v>
      </c>
      <c r="H152" s="115"/>
      <c r="I152" s="64"/>
      <c r="J152" s="64"/>
      <c r="K152" s="65" t="n">
        <f aca="false">L152+M152</f>
        <v>0</v>
      </c>
      <c r="L152" s="65"/>
      <c r="M152" s="65"/>
      <c r="N152" s="64" t="n">
        <v>1</v>
      </c>
      <c r="O152" s="65" t="n">
        <f aca="false">P152+Q152</f>
        <v>0</v>
      </c>
      <c r="P152" s="65"/>
      <c r="Q152" s="66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true" outlineLevel="0" collapsed="false">
      <c r="A153" s="17"/>
      <c r="B153" s="18" t="s">
        <v>135</v>
      </c>
      <c r="C153" s="19" t="s">
        <v>20</v>
      </c>
      <c r="D153" s="19"/>
      <c r="E153" s="19" t="s">
        <v>69</v>
      </c>
      <c r="F153" s="22"/>
      <c r="G153" s="21" t="s">
        <v>22</v>
      </c>
      <c r="H153" s="114" t="n">
        <v>4</v>
      </c>
      <c r="I153" s="67" t="n">
        <v>2</v>
      </c>
      <c r="J153" s="67" t="n">
        <v>2</v>
      </c>
      <c r="K153" s="68" t="n">
        <f aca="false">L153+M153</f>
        <v>0</v>
      </c>
      <c r="L153" s="68"/>
      <c r="M153" s="68"/>
      <c r="N153" s="67" t="n">
        <v>2</v>
      </c>
      <c r="O153" s="68" t="n">
        <f aca="false">P153+Q153</f>
        <v>0</v>
      </c>
      <c r="P153" s="68"/>
      <c r="Q153" s="69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.75" hidden="false" customHeight="true" outlineLevel="0" collapsed="false">
      <c r="A154" s="17"/>
      <c r="B154" s="18"/>
      <c r="C154" s="18"/>
      <c r="D154" s="18"/>
      <c r="E154" s="18"/>
      <c r="F154" s="26"/>
      <c r="G154" s="27" t="s">
        <v>26</v>
      </c>
      <c r="H154" s="117" t="n">
        <v>1</v>
      </c>
      <c r="I154" s="58"/>
      <c r="J154" s="58"/>
      <c r="K154" s="59" t="n">
        <f aca="false">L154+M154</f>
        <v>0</v>
      </c>
      <c r="L154" s="59"/>
      <c r="M154" s="59"/>
      <c r="N154" s="58" t="n">
        <v>1</v>
      </c>
      <c r="O154" s="59" t="n">
        <f aca="false">P154+Q154</f>
        <v>0</v>
      </c>
      <c r="P154" s="59"/>
      <c r="Q154" s="60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33"/>
      <c r="B155" s="34" t="s">
        <v>136</v>
      </c>
      <c r="C155" s="35" t="s">
        <v>20</v>
      </c>
      <c r="D155" s="35"/>
      <c r="E155" s="35" t="s">
        <v>98</v>
      </c>
      <c r="F155" s="36"/>
      <c r="G155" s="21" t="s">
        <v>22</v>
      </c>
      <c r="H155" s="114" t="n">
        <v>9</v>
      </c>
      <c r="I155" s="61" t="n">
        <v>2</v>
      </c>
      <c r="J155" s="61" t="n">
        <v>2</v>
      </c>
      <c r="K155" s="62" t="n">
        <f aca="false">L155+M155</f>
        <v>0</v>
      </c>
      <c r="L155" s="62"/>
      <c r="M155" s="62"/>
      <c r="N155" s="61" t="n">
        <v>6</v>
      </c>
      <c r="O155" s="62" t="n">
        <f aca="false">P155+Q155</f>
        <v>0</v>
      </c>
      <c r="P155" s="62"/>
      <c r="Q155" s="63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/>
      <c r="C156" s="34"/>
      <c r="D156" s="34"/>
      <c r="E156" s="34"/>
      <c r="F156" s="42"/>
      <c r="G156" s="43" t="s">
        <v>23</v>
      </c>
      <c r="H156" s="117" t="n">
        <v>2</v>
      </c>
      <c r="I156" s="64" t="n">
        <v>3</v>
      </c>
      <c r="J156" s="64" t="n">
        <v>3</v>
      </c>
      <c r="K156" s="65" t="n">
        <f aca="false">L156+M156</f>
        <v>0</v>
      </c>
      <c r="L156" s="65"/>
      <c r="M156" s="65"/>
      <c r="N156" s="64"/>
      <c r="O156" s="65" t="n">
        <f aca="false">P156+Q156</f>
        <v>0</v>
      </c>
      <c r="P156" s="65"/>
      <c r="Q156" s="66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17"/>
      <c r="B157" s="18" t="s">
        <v>137</v>
      </c>
      <c r="C157" s="19" t="s">
        <v>20</v>
      </c>
      <c r="D157" s="19"/>
      <c r="E157" s="19" t="s">
        <v>25</v>
      </c>
      <c r="F157" s="20"/>
      <c r="G157" s="21" t="s">
        <v>22</v>
      </c>
      <c r="H157" s="116"/>
      <c r="I157" s="67"/>
      <c r="J157" s="67"/>
      <c r="K157" s="68" t="n">
        <f aca="false">L157+M157</f>
        <v>0</v>
      </c>
      <c r="L157" s="68"/>
      <c r="M157" s="68"/>
      <c r="N157" s="67"/>
      <c r="O157" s="68" t="n">
        <f aca="false">P157+Q157</f>
        <v>0</v>
      </c>
      <c r="P157" s="68"/>
      <c r="Q157" s="69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20.25" hidden="false" customHeight="true" outlineLevel="0" collapsed="false">
      <c r="A158" s="17"/>
      <c r="B158" s="18"/>
      <c r="C158" s="18"/>
      <c r="D158" s="18"/>
      <c r="E158" s="18"/>
      <c r="F158" s="26"/>
      <c r="G158" s="27" t="s">
        <v>26</v>
      </c>
      <c r="H158" s="118" t="n">
        <v>2</v>
      </c>
      <c r="I158" s="58"/>
      <c r="J158" s="58"/>
      <c r="K158" s="59" t="n">
        <f aca="false">L158+M158</f>
        <v>0</v>
      </c>
      <c r="L158" s="59"/>
      <c r="M158" s="59"/>
      <c r="N158" s="58"/>
      <c r="O158" s="59" t="n">
        <f aca="false">P158+Q158</f>
        <v>0</v>
      </c>
      <c r="P158" s="59"/>
      <c r="Q158" s="60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 t="s">
        <v>138</v>
      </c>
      <c r="C159" s="56" t="s">
        <v>33</v>
      </c>
      <c r="D159" s="56" t="s">
        <v>139</v>
      </c>
      <c r="E159" s="56" t="s">
        <v>25</v>
      </c>
      <c r="F159" s="36"/>
      <c r="G159" s="21" t="s">
        <v>22</v>
      </c>
      <c r="H159" s="116"/>
      <c r="I159" s="61"/>
      <c r="J159" s="61"/>
      <c r="K159" s="62" t="n">
        <f aca="false">L159+M159</f>
        <v>0</v>
      </c>
      <c r="L159" s="62"/>
      <c r="M159" s="62"/>
      <c r="N159" s="61"/>
      <c r="O159" s="62" t="n">
        <f aca="false">P159+Q159</f>
        <v>0</v>
      </c>
      <c r="P159" s="62"/>
      <c r="Q159" s="63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54"/>
      <c r="B160" s="55"/>
      <c r="C160" s="55"/>
      <c r="D160" s="55"/>
      <c r="E160" s="55"/>
      <c r="F160" s="57"/>
      <c r="G160" s="27" t="s">
        <v>26</v>
      </c>
      <c r="H160" s="117" t="n">
        <v>2</v>
      </c>
      <c r="I160" s="58"/>
      <c r="J160" s="58"/>
      <c r="K160" s="59" t="n">
        <f aca="false">L160+M160</f>
        <v>0</v>
      </c>
      <c r="L160" s="59"/>
      <c r="M160" s="59"/>
      <c r="N160" s="58"/>
      <c r="O160" s="59" t="n">
        <f aca="false">P160+Q160</f>
        <v>0</v>
      </c>
      <c r="P160" s="59"/>
      <c r="Q160" s="60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true" outlineLevel="0" collapsed="false">
      <c r="A161" s="33"/>
      <c r="B161" s="34" t="s">
        <v>140</v>
      </c>
      <c r="C161" s="35" t="s">
        <v>20</v>
      </c>
      <c r="D161" s="35"/>
      <c r="E161" s="35" t="s">
        <v>141</v>
      </c>
      <c r="F161" s="36"/>
      <c r="G161" s="21" t="s">
        <v>22</v>
      </c>
      <c r="H161" s="114" t="n">
        <v>1</v>
      </c>
      <c r="I161" s="61" t="n">
        <v>1</v>
      </c>
      <c r="J161" s="61" t="n">
        <v>1</v>
      </c>
      <c r="K161" s="62" t="n">
        <f aca="false">L161+M161</f>
        <v>0</v>
      </c>
      <c r="L161" s="62"/>
      <c r="M161" s="62"/>
      <c r="N161" s="61" t="n">
        <v>2</v>
      </c>
      <c r="O161" s="62" t="n">
        <f aca="false">P161+Q161</f>
        <v>0</v>
      </c>
      <c r="P161" s="62"/>
      <c r="Q161" s="63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/>
      <c r="C162" s="34"/>
      <c r="D162" s="34"/>
      <c r="E162" s="34"/>
      <c r="F162" s="42"/>
      <c r="G162" s="43" t="s">
        <v>26</v>
      </c>
      <c r="H162" s="115"/>
      <c r="I162" s="64"/>
      <c r="J162" s="64"/>
      <c r="K162" s="65" t="n">
        <f aca="false">L162+M162</f>
        <v>0</v>
      </c>
      <c r="L162" s="65"/>
      <c r="M162" s="65"/>
      <c r="N162" s="64"/>
      <c r="O162" s="65" t="n">
        <f aca="false">P162+Q162</f>
        <v>0</v>
      </c>
      <c r="P162" s="65"/>
      <c r="Q162" s="66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17"/>
      <c r="B163" s="18" t="s">
        <v>142</v>
      </c>
      <c r="C163" s="19" t="s">
        <v>20</v>
      </c>
      <c r="D163" s="19"/>
      <c r="E163" s="19" t="s">
        <v>25</v>
      </c>
      <c r="F163" s="20"/>
      <c r="G163" s="21" t="s">
        <v>22</v>
      </c>
      <c r="H163" s="114" t="n">
        <v>3</v>
      </c>
      <c r="I163" s="67" t="n">
        <v>2</v>
      </c>
      <c r="J163" s="67" t="n">
        <v>2</v>
      </c>
      <c r="K163" s="68" t="n">
        <f aca="false">L163+M163</f>
        <v>0</v>
      </c>
      <c r="L163" s="68"/>
      <c r="M163" s="68"/>
      <c r="N163" s="67" t="n">
        <v>1</v>
      </c>
      <c r="O163" s="68" t="n">
        <f aca="false">P163+Q163</f>
        <v>0</v>
      </c>
      <c r="P163" s="68"/>
      <c r="Q163" s="69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.75" hidden="false" customHeight="true" outlineLevel="0" collapsed="false">
      <c r="A164" s="17"/>
      <c r="B164" s="18"/>
      <c r="C164" s="18"/>
      <c r="D164" s="18"/>
      <c r="E164" s="18"/>
      <c r="F164" s="26"/>
      <c r="G164" s="27" t="s">
        <v>26</v>
      </c>
      <c r="H164" s="117" t="n">
        <v>4</v>
      </c>
      <c r="I164" s="58"/>
      <c r="J164" s="58"/>
      <c r="K164" s="59" t="n">
        <f aca="false">L164+M164</f>
        <v>0</v>
      </c>
      <c r="L164" s="59"/>
      <c r="M164" s="59"/>
      <c r="N164" s="58" t="n">
        <v>2</v>
      </c>
      <c r="O164" s="59" t="n">
        <f aca="false">P164+Q164</f>
        <v>0</v>
      </c>
      <c r="P164" s="59"/>
      <c r="Q164" s="60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33"/>
      <c r="B165" s="34" t="s">
        <v>143</v>
      </c>
      <c r="C165" s="35" t="s">
        <v>20</v>
      </c>
      <c r="D165" s="35"/>
      <c r="E165" s="35" t="s">
        <v>25</v>
      </c>
      <c r="F165" s="36"/>
      <c r="G165" s="21" t="s">
        <v>22</v>
      </c>
      <c r="H165" s="116"/>
      <c r="I165" s="61"/>
      <c r="J165" s="61"/>
      <c r="K165" s="62" t="n">
        <f aca="false">L165+M165</f>
        <v>0</v>
      </c>
      <c r="L165" s="62"/>
      <c r="M165" s="62"/>
      <c r="N165" s="61"/>
      <c r="O165" s="62" t="n">
        <f aca="false">P165+Q165</f>
        <v>0</v>
      </c>
      <c r="P165" s="62"/>
      <c r="Q165" s="63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/>
      <c r="C166" s="34"/>
      <c r="D166" s="34"/>
      <c r="E166" s="34"/>
      <c r="F166" s="42"/>
      <c r="G166" s="43" t="s">
        <v>26</v>
      </c>
      <c r="H166" s="117" t="n">
        <v>1</v>
      </c>
      <c r="I166" s="64"/>
      <c r="J166" s="64"/>
      <c r="K166" s="65" t="n">
        <f aca="false">L166+M166</f>
        <v>0</v>
      </c>
      <c r="L166" s="65"/>
      <c r="M166" s="65"/>
      <c r="N166" s="64"/>
      <c r="O166" s="65" t="n">
        <f aca="false">P166+Q166</f>
        <v>0</v>
      </c>
      <c r="P166" s="65"/>
      <c r="Q166" s="66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 t="s">
        <v>144</v>
      </c>
      <c r="C167" s="19" t="s">
        <v>20</v>
      </c>
      <c r="D167" s="19"/>
      <c r="E167" s="19" t="s">
        <v>81</v>
      </c>
      <c r="F167" s="20"/>
      <c r="G167" s="21" t="s">
        <v>22</v>
      </c>
      <c r="H167" s="114" t="n">
        <v>1</v>
      </c>
      <c r="I167" s="67"/>
      <c r="J167" s="67"/>
      <c r="K167" s="68" t="n">
        <f aca="false">L167+M167</f>
        <v>0</v>
      </c>
      <c r="L167" s="68"/>
      <c r="M167" s="68"/>
      <c r="N167" s="67" t="n">
        <v>2</v>
      </c>
      <c r="O167" s="68" t="n">
        <f aca="false">P167+Q167</f>
        <v>0</v>
      </c>
      <c r="P167" s="68"/>
      <c r="Q167" s="69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/>
      <c r="C168" s="18"/>
      <c r="D168" s="18"/>
      <c r="E168" s="18"/>
      <c r="F168" s="26"/>
      <c r="G168" s="27" t="s">
        <v>26</v>
      </c>
      <c r="H168" s="117" t="n">
        <v>5</v>
      </c>
      <c r="I168" s="58"/>
      <c r="J168" s="58"/>
      <c r="K168" s="59" t="n">
        <f aca="false">L168+M168</f>
        <v>0</v>
      </c>
      <c r="L168" s="59"/>
      <c r="M168" s="59"/>
      <c r="N168" s="58" t="n">
        <v>1</v>
      </c>
      <c r="O168" s="59" t="n">
        <f aca="false">P168+Q168</f>
        <v>0</v>
      </c>
      <c r="P168" s="59"/>
      <c r="Q168" s="60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" hidden="false" customHeight="true" outlineLevel="0" collapsed="false">
      <c r="A169" s="33"/>
      <c r="B169" s="34" t="s">
        <v>145</v>
      </c>
      <c r="C169" s="35" t="s">
        <v>20</v>
      </c>
      <c r="D169" s="35"/>
      <c r="E169" s="35" t="s">
        <v>98</v>
      </c>
      <c r="F169" s="36"/>
      <c r="G169" s="21" t="s">
        <v>22</v>
      </c>
      <c r="H169" s="116"/>
      <c r="I169" s="61"/>
      <c r="J169" s="61"/>
      <c r="K169" s="62" t="n">
        <f aca="false">L169+M169</f>
        <v>0</v>
      </c>
      <c r="L169" s="62"/>
      <c r="M169" s="62"/>
      <c r="N169" s="61"/>
      <c r="O169" s="62" t="n">
        <f aca="false">P169+Q169</f>
        <v>0</v>
      </c>
      <c r="P169" s="62"/>
      <c r="Q169" s="63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33"/>
      <c r="B170" s="34"/>
      <c r="C170" s="34"/>
      <c r="D170" s="34"/>
      <c r="E170" s="34"/>
      <c r="F170" s="71"/>
      <c r="G170" s="43" t="s">
        <v>23</v>
      </c>
      <c r="H170" s="115"/>
      <c r="I170" s="64"/>
      <c r="J170" s="64"/>
      <c r="K170" s="65" t="n">
        <f aca="false">L170+M170</f>
        <v>0</v>
      </c>
      <c r="L170" s="65"/>
      <c r="M170" s="65"/>
      <c r="N170" s="64"/>
      <c r="O170" s="65" t="n">
        <f aca="false">P170+Q170</f>
        <v>0</v>
      </c>
      <c r="P170" s="65"/>
      <c r="Q170" s="66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" hidden="false" customHeight="true" outlineLevel="0" collapsed="false">
      <c r="A171" s="17"/>
      <c r="B171" s="18" t="s">
        <v>146</v>
      </c>
      <c r="C171" s="19" t="s">
        <v>20</v>
      </c>
      <c r="D171" s="19"/>
      <c r="E171" s="19" t="s">
        <v>25</v>
      </c>
      <c r="F171" s="22"/>
      <c r="G171" s="21" t="s">
        <v>22</v>
      </c>
      <c r="H171" s="114" t="n">
        <v>2</v>
      </c>
      <c r="I171" s="67" t="n">
        <v>1</v>
      </c>
      <c r="J171" s="67" t="n">
        <v>1</v>
      </c>
      <c r="K171" s="68" t="n">
        <f aca="false">L171+M171</f>
        <v>0</v>
      </c>
      <c r="L171" s="68"/>
      <c r="M171" s="68"/>
      <c r="N171" s="67"/>
      <c r="O171" s="68" t="n">
        <f aca="false">P171+Q171</f>
        <v>0</v>
      </c>
      <c r="P171" s="68"/>
      <c r="Q171" s="69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17"/>
      <c r="B172" s="18"/>
      <c r="C172" s="18"/>
      <c r="D172" s="18"/>
      <c r="E172" s="18"/>
      <c r="F172" s="26"/>
      <c r="G172" s="27" t="s">
        <v>26</v>
      </c>
      <c r="H172" s="115"/>
      <c r="I172" s="58"/>
      <c r="J172" s="58"/>
      <c r="K172" s="59" t="n">
        <f aca="false">L172+M172</f>
        <v>0</v>
      </c>
      <c r="L172" s="59"/>
      <c r="M172" s="59"/>
      <c r="N172" s="58"/>
      <c r="O172" s="59" t="n">
        <f aca="false">P172+Q172</f>
        <v>0</v>
      </c>
      <c r="P172" s="59"/>
      <c r="Q172" s="60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 t="s">
        <v>147</v>
      </c>
      <c r="C173" s="56" t="s">
        <v>20</v>
      </c>
      <c r="D173" s="56"/>
      <c r="E173" s="56" t="s">
        <v>25</v>
      </c>
      <c r="F173" s="97"/>
      <c r="G173" s="21" t="s">
        <v>22</v>
      </c>
      <c r="H173" s="114" t="n">
        <v>2</v>
      </c>
      <c r="I173" s="61" t="n">
        <v>1</v>
      </c>
      <c r="J173" s="61" t="n">
        <v>1</v>
      </c>
      <c r="K173" s="62" t="n">
        <f aca="false">L173+M173</f>
        <v>0</v>
      </c>
      <c r="L173" s="62"/>
      <c r="M173" s="62"/>
      <c r="N173" s="61" t="n">
        <v>2</v>
      </c>
      <c r="O173" s="62" t="n">
        <f aca="false">P173+Q173</f>
        <v>0</v>
      </c>
      <c r="P173" s="62"/>
      <c r="Q173" s="63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.75" hidden="false" customHeight="true" outlineLevel="0" collapsed="false">
      <c r="A174" s="54"/>
      <c r="B174" s="55"/>
      <c r="C174" s="55"/>
      <c r="D174" s="55"/>
      <c r="E174" s="55"/>
      <c r="F174" s="26"/>
      <c r="G174" s="27" t="s">
        <v>26</v>
      </c>
      <c r="H174" s="117" t="n">
        <v>3</v>
      </c>
      <c r="I174" s="58"/>
      <c r="J174" s="58"/>
      <c r="K174" s="59" t="n">
        <f aca="false">L174+M174</f>
        <v>0</v>
      </c>
      <c r="L174" s="59"/>
      <c r="M174" s="59"/>
      <c r="N174" s="58" t="n">
        <v>3</v>
      </c>
      <c r="O174" s="59" t="n">
        <f aca="false">P174+Q174</f>
        <v>0</v>
      </c>
      <c r="P174" s="59"/>
      <c r="Q174" s="98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" hidden="false" customHeight="true" outlineLevel="0" collapsed="false">
      <c r="A175" s="17"/>
      <c r="B175" s="18" t="s">
        <v>148</v>
      </c>
      <c r="C175" s="19" t="s">
        <v>20</v>
      </c>
      <c r="D175" s="19"/>
      <c r="E175" s="19" t="s">
        <v>21</v>
      </c>
      <c r="F175" s="22"/>
      <c r="G175" s="21" t="s">
        <v>22</v>
      </c>
      <c r="H175" s="114" t="n">
        <v>1</v>
      </c>
      <c r="I175" s="67"/>
      <c r="J175" s="67"/>
      <c r="K175" s="68" t="n">
        <f aca="false">L175+M175</f>
        <v>0</v>
      </c>
      <c r="L175" s="68"/>
      <c r="M175" s="68"/>
      <c r="N175" s="67"/>
      <c r="O175" s="68" t="n">
        <f aca="false">P175+Q175</f>
        <v>0</v>
      </c>
      <c r="P175" s="68"/>
      <c r="Q175" s="69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/>
      <c r="C176" s="18"/>
      <c r="D176" s="18"/>
      <c r="E176" s="18"/>
      <c r="F176" s="26"/>
      <c r="G176" s="27" t="s">
        <v>23</v>
      </c>
      <c r="H176" s="117" t="n">
        <v>1</v>
      </c>
      <c r="I176" s="58"/>
      <c r="J176" s="58"/>
      <c r="K176" s="59" t="n">
        <f aca="false">L176+M176</f>
        <v>0</v>
      </c>
      <c r="L176" s="59"/>
      <c r="M176" s="59"/>
      <c r="N176" s="58"/>
      <c r="O176" s="59" t="n">
        <f aca="false">P176+Q176</f>
        <v>0</v>
      </c>
      <c r="P176" s="59"/>
      <c r="Q176" s="60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99"/>
      <c r="B177" s="100" t="s">
        <v>149</v>
      </c>
      <c r="C177" s="100"/>
      <c r="D177" s="100"/>
      <c r="E177" s="100"/>
      <c r="F177" s="100"/>
      <c r="G177" s="100"/>
      <c r="H177" s="100" t="n">
        <f aca="false">SUM(H9:H176)</f>
        <v>305</v>
      </c>
      <c r="I177" s="100" t="n">
        <f aca="false">SUM(I9:I176)</f>
        <v>93</v>
      </c>
      <c r="J177" s="100" t="n">
        <f aca="false">SUM(J9:J176)</f>
        <v>98</v>
      </c>
      <c r="K177" s="101" t="n">
        <f aca="false">SUM(K9:K176)</f>
        <v>0</v>
      </c>
      <c r="L177" s="101" t="n">
        <f aca="false">SUM(L9:L176)</f>
        <v>0</v>
      </c>
      <c r="M177" s="102" t="n">
        <f aca="false">SUM(M9:M176)</f>
        <v>0</v>
      </c>
      <c r="N177" s="100" t="n">
        <f aca="false">SUM(N9:N176)</f>
        <v>227</v>
      </c>
      <c r="O177" s="102" t="n">
        <f aca="false">SUM(O9:O176)</f>
        <v>0</v>
      </c>
      <c r="P177" s="102" t="n">
        <f aca="false">SUM(P9:P176)</f>
        <v>0</v>
      </c>
      <c r="Q177" s="102" t="n">
        <f aca="false">SUM(Q9:Q176)</f>
        <v>0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" hidden="false" customHeight="false" outlineLevel="0" collapsed="false">
      <c r="A178" s="2"/>
      <c r="B178" s="2"/>
      <c r="C178" s="2"/>
      <c r="D178" s="2"/>
      <c r="E178" s="2"/>
      <c r="F178" s="2"/>
      <c r="G178" s="2"/>
      <c r="I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" hidden="false" customHeight="fals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" hidden="false" customHeight="fals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" hidden="false" customHeight="true" outlineLevel="0" collapsed="false">
      <c r="A181" s="2"/>
      <c r="B181" s="2"/>
      <c r="C181" s="2"/>
      <c r="D181" s="2"/>
      <c r="E181" s="2"/>
      <c r="F181" s="103"/>
      <c r="G181" s="104" t="s">
        <v>5</v>
      </c>
      <c r="H181" s="104"/>
      <c r="I181" s="104"/>
      <c r="J181" s="104"/>
      <c r="K181" s="104"/>
      <c r="L181" s="104"/>
      <c r="M181" s="104" t="s">
        <v>6</v>
      </c>
      <c r="N181" s="104"/>
      <c r="O181" s="104"/>
      <c r="P181" s="104"/>
      <c r="Q181" s="105" t="s">
        <v>150</v>
      </c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false" outlineLevel="0" collapsed="false">
      <c r="A182" s="2"/>
      <c r="B182" s="2"/>
      <c r="C182" s="2"/>
      <c r="D182" s="2"/>
      <c r="E182" s="2"/>
      <c r="F182" s="103"/>
      <c r="G182" s="106" t="s">
        <v>13</v>
      </c>
      <c r="H182" s="106" t="s">
        <v>14</v>
      </c>
      <c r="I182" s="106" t="s">
        <v>15</v>
      </c>
      <c r="J182" s="106" t="s">
        <v>16</v>
      </c>
      <c r="K182" s="106" t="s">
        <v>17</v>
      </c>
      <c r="L182" s="106" t="s">
        <v>18</v>
      </c>
      <c r="M182" s="106" t="s">
        <v>15</v>
      </c>
      <c r="N182" s="106" t="s">
        <v>16</v>
      </c>
      <c r="O182" s="106" t="s">
        <v>17</v>
      </c>
      <c r="P182" s="106" t="s">
        <v>18</v>
      </c>
      <c r="Q182" s="105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" hidden="false" customHeight="false" outlineLevel="0" collapsed="false">
      <c r="A183" s="2"/>
      <c r="B183" s="2"/>
      <c r="C183" s="2"/>
      <c r="D183" s="2"/>
      <c r="E183" s="2"/>
      <c r="F183" s="107" t="s">
        <v>22</v>
      </c>
      <c r="G183" s="108" t="n">
        <f aca="false">SUMIF($G$9:$G$176,$F$183,H9:H176)</f>
        <v>204</v>
      </c>
      <c r="H183" s="108" t="n">
        <f aca="false">SUMIF($G$9:$G$176,$F$183,I9:I176)</f>
        <v>69</v>
      </c>
      <c r="I183" s="108" t="n">
        <f aca="false">SUMIF($G$9:$G$176,$F$183,J9:J176)</f>
        <v>74</v>
      </c>
      <c r="J183" s="109" t="n">
        <f aca="false">SUMIF($G$9:$G$176,$F$183,K9:K176)</f>
        <v>0</v>
      </c>
      <c r="K183" s="109" t="n">
        <f aca="false">SUMIF($G$9:$G$176,$F$183,L9:L176)</f>
        <v>0</v>
      </c>
      <c r="L183" s="109" t="n">
        <f aca="false">SUMIF($G$9:$G$176,$F$183,M9:M176)</f>
        <v>0</v>
      </c>
      <c r="M183" s="108" t="n">
        <f aca="false">SUMIF($G$9:$G$176,$F$183,N9:N176)</f>
        <v>166</v>
      </c>
      <c r="N183" s="109" t="n">
        <f aca="false">SUMIF($G$9:$G$176,$F$183,O9:O176)</f>
        <v>0</v>
      </c>
      <c r="O183" s="109" t="n">
        <f aca="false">SUMIF($G$9:$G$176,$F$183,P9:P176)</f>
        <v>0</v>
      </c>
      <c r="P183" s="109" t="n">
        <f aca="false">SUMIF($G$9:$G$176,$F$183,Q9:Q176)</f>
        <v>0</v>
      </c>
      <c r="Q183" s="110" t="n">
        <f aca="false">O183+K183</f>
        <v>0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false" outlineLevel="0" collapsed="false">
      <c r="A184" s="2"/>
      <c r="B184" s="2"/>
      <c r="C184" s="2"/>
      <c r="D184" s="2"/>
      <c r="E184" s="2"/>
      <c r="F184" s="107" t="s">
        <v>26</v>
      </c>
      <c r="G184" s="108" t="n">
        <f aca="false">SUMIF($G$9:$G$176,$F$184,H9:H176)</f>
        <v>63</v>
      </c>
      <c r="H184" s="108" t="n">
        <f aca="false">SUMIF($G$9:$G$176,$F$184,I9:I176)</f>
        <v>0</v>
      </c>
      <c r="I184" s="108" t="n">
        <f aca="false">SUMIF($G$9:$G$176,$F$184,J9:J176)</f>
        <v>0</v>
      </c>
      <c r="J184" s="109" t="n">
        <f aca="false">SUMIF($G$9:$G$176,$F$184,K9:K176)</f>
        <v>0</v>
      </c>
      <c r="K184" s="109" t="n">
        <f aca="false">SUMIF($G$9:$G$176,$F$184,L9:L176)</f>
        <v>0</v>
      </c>
      <c r="L184" s="109" t="n">
        <f aca="false">SUMIF($G$9:$G$176,$F$184,M9:M176)</f>
        <v>0</v>
      </c>
      <c r="M184" s="108" t="n">
        <f aca="false">SUMIF($G$9:$G$176,$F$184,N9:N176)</f>
        <v>54</v>
      </c>
      <c r="N184" s="109" t="n">
        <f aca="false">SUMIF($G$9:$G$176,$F$184,O9:O176)</f>
        <v>0</v>
      </c>
      <c r="O184" s="109" t="n">
        <f aca="false">SUMIF($G$9:$G$176,$F$184,P9:P176)</f>
        <v>0</v>
      </c>
      <c r="P184" s="109" t="n">
        <f aca="false">SUMIF($G$9:$G$176,$F$184,Q9:Q176)</f>
        <v>0</v>
      </c>
      <c r="Q184" s="110" t="n">
        <f aca="false">O184+K184</f>
        <v>0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" hidden="false" customHeight="false" outlineLevel="0" collapsed="false">
      <c r="A185" s="2"/>
      <c r="B185" s="2"/>
      <c r="C185" s="2"/>
      <c r="D185" s="2"/>
      <c r="E185" s="2"/>
      <c r="F185" s="107" t="s">
        <v>23</v>
      </c>
      <c r="G185" s="108" t="n">
        <f aca="false">SUMIF($G$9:$G$176,$F$185,H9:H176)</f>
        <v>38</v>
      </c>
      <c r="H185" s="108" t="n">
        <f aca="false">SUMIF($G$9:$G$176,$F$185,I9:I176)</f>
        <v>24</v>
      </c>
      <c r="I185" s="108" t="n">
        <f aca="false">SUMIF($G$9:$G$176,$F$185,J9:J176)</f>
        <v>24</v>
      </c>
      <c r="J185" s="109" t="n">
        <f aca="false">SUMIF($G$9:$G$176,$F$185,K9:K176)</f>
        <v>0</v>
      </c>
      <c r="K185" s="109" t="n">
        <f aca="false">SUMIF($G$9:$G$176,$F$185,L9:L176)</f>
        <v>0</v>
      </c>
      <c r="L185" s="109" t="n">
        <f aca="false">SUMIF($G$9:$G$176,$F$185,M9:M176)</f>
        <v>0</v>
      </c>
      <c r="M185" s="108" t="n">
        <f aca="false">SUMIF($G$9:$G$176,$F$185,N9:N176)</f>
        <v>7</v>
      </c>
      <c r="N185" s="109" t="n">
        <f aca="false">SUMIF($G$9:$G$176,$F$185,O9:O176)</f>
        <v>0</v>
      </c>
      <c r="O185" s="109" t="n">
        <f aca="false">SUMIF($G$9:$G$176,$F$185,P9:P176)</f>
        <v>0</v>
      </c>
      <c r="P185" s="109" t="n">
        <f aca="false">SUMIF($G$9:$G$176,$F$185,Q9:Q176)</f>
        <v>0</v>
      </c>
      <c r="Q185" s="110" t="n">
        <f aca="false">O185+K185</f>
        <v>0</v>
      </c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fals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111" t="n">
        <f aca="false">Q185+Q184+Q183</f>
        <v>0</v>
      </c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" hidden="false" customHeight="fals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fals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" hidden="false" customHeight="false" outlineLevel="0" collapsed="false">
      <c r="A189" s="2"/>
      <c r="B189" s="2"/>
      <c r="C189" s="2"/>
      <c r="D189" s="2"/>
      <c r="E189" s="2"/>
      <c r="F189" s="2"/>
      <c r="G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" hidden="false" customHeight="fals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fals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</sheetData>
  <mergeCells count="42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3"/>
    <mergeCell ref="B71:B73"/>
    <mergeCell ref="C71:C73"/>
    <mergeCell ref="D71:D73"/>
    <mergeCell ref="E71:E73"/>
    <mergeCell ref="A74:A75"/>
    <mergeCell ref="B74:B75"/>
    <mergeCell ref="C74:C75"/>
    <mergeCell ref="D74:D75"/>
    <mergeCell ref="E74:E75"/>
    <mergeCell ref="A76:A77"/>
    <mergeCell ref="B76:B77"/>
    <mergeCell ref="C76:C77"/>
    <mergeCell ref="D76:D77"/>
    <mergeCell ref="E76:E77"/>
    <mergeCell ref="A78:A79"/>
    <mergeCell ref="B78:B79"/>
    <mergeCell ref="C78:C79"/>
    <mergeCell ref="D78:D79"/>
    <mergeCell ref="E78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2"/>
    <mergeCell ref="B90:B92"/>
    <mergeCell ref="C90:C92"/>
    <mergeCell ref="D90:D92"/>
    <mergeCell ref="E90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3"/>
    <mergeCell ref="B101:B103"/>
    <mergeCell ref="C101:C103"/>
    <mergeCell ref="D101:D103"/>
    <mergeCell ref="E101:E103"/>
    <mergeCell ref="A104:A105"/>
    <mergeCell ref="B104:B105"/>
    <mergeCell ref="C104:C105"/>
    <mergeCell ref="D104:D105"/>
    <mergeCell ref="E104:E105"/>
    <mergeCell ref="A106:A107"/>
    <mergeCell ref="B106:B107"/>
    <mergeCell ref="C106:C107"/>
    <mergeCell ref="D106:D107"/>
    <mergeCell ref="E106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6"/>
    <mergeCell ref="B124:B126"/>
    <mergeCell ref="C124:C126"/>
    <mergeCell ref="D124:D126"/>
    <mergeCell ref="E124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F181:F182"/>
    <mergeCell ref="G181:L181"/>
    <mergeCell ref="M181:P181"/>
    <mergeCell ref="Q181:Q182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0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11</v>
      </c>
      <c r="I9" s="148" t="n">
        <v>1</v>
      </c>
      <c r="J9" s="148" t="n">
        <v>1</v>
      </c>
      <c r="K9" s="149" t="n">
        <v>965.3</v>
      </c>
      <c r="L9" s="149" t="n">
        <f aca="false">M9+N9</f>
        <v>0</v>
      </c>
      <c r="M9" s="149"/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 t="n">
        <v>2</v>
      </c>
      <c r="J10" s="154" t="n">
        <v>2</v>
      </c>
      <c r="K10" s="155" t="n">
        <v>2209.2</v>
      </c>
      <c r="L10" s="155" t="n">
        <v>2209.2</v>
      </c>
      <c r="M10" s="155" t="n">
        <v>2209.2</v>
      </c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30</v>
      </c>
      <c r="I11" s="160" t="n">
        <v>22</v>
      </c>
      <c r="J11" s="160" t="n">
        <v>37</v>
      </c>
      <c r="K11" s="161" t="n">
        <v>86233.66</v>
      </c>
      <c r="L11" s="161" t="n">
        <v>71801.93</v>
      </c>
      <c r="M11" s="161" t="n">
        <v>71801.93</v>
      </c>
      <c r="N11" s="239" t="n">
        <v>5079.33</v>
      </c>
      <c r="O11" s="151" t="n">
        <v>13</v>
      </c>
      <c r="P11" s="149" t="n">
        <v>83076.37</v>
      </c>
      <c r="Q11" s="149" t="n">
        <f aca="false">R11+S11</f>
        <v>44135.02</v>
      </c>
      <c r="R11" s="149" t="n">
        <v>39893.36</v>
      </c>
      <c r="S11" s="150" t="n">
        <v>4241.66</v>
      </c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2945.6</v>
      </c>
      <c r="M12" s="166" t="n">
        <f aca="false">1841+1104.6</f>
        <v>2945.6</v>
      </c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38</v>
      </c>
      <c r="I13" s="148" t="n">
        <v>35</v>
      </c>
      <c r="J13" s="148" t="n">
        <v>54</v>
      </c>
      <c r="K13" s="149" t="n">
        <v>89444.81</v>
      </c>
      <c r="L13" s="149" t="n">
        <f aca="false">M13+N13</f>
        <v>75001.38</v>
      </c>
      <c r="M13" s="149" t="n">
        <v>75001.38</v>
      </c>
      <c r="N13" s="249"/>
      <c r="O13" s="228" t="n">
        <v>8</v>
      </c>
      <c r="P13" s="161" t="n">
        <v>31855.11</v>
      </c>
      <c r="Q13" s="161" t="n">
        <f aca="false">R13+S13</f>
        <v>31855.11</v>
      </c>
      <c r="R13" s="161" t="n">
        <v>31855.11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17466.75</v>
      </c>
      <c r="M14" s="155" t="n">
        <f aca="false">1938.2+5638.4+4017.36+1822.59+4050.2</f>
        <v>17466.75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9801.6</v>
      </c>
      <c r="R15" s="149" t="n">
        <v>9801.6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4</v>
      </c>
      <c r="J16" s="165" t="n">
        <v>4</v>
      </c>
      <c r="K16" s="166" t="n">
        <v>9191.6</v>
      </c>
      <c r="L16" s="166" t="n">
        <f aca="false">M16+N16</f>
        <v>7350.6</v>
      </c>
      <c r="M16" s="166" t="n">
        <f aca="false">4405+2945.6</f>
        <v>7350.6</v>
      </c>
      <c r="N16" s="167"/>
      <c r="O16" s="168" t="n">
        <v>7</v>
      </c>
      <c r="P16" s="166" t="n">
        <v>32299.9</v>
      </c>
      <c r="Q16" s="166" t="n">
        <f aca="false">R16+S16</f>
        <v>25827.9</v>
      </c>
      <c r="R16" s="166" t="n">
        <f aca="false">23434.6+2393.3</f>
        <v>25827.9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24</v>
      </c>
      <c r="I19" s="160" t="n">
        <v>7</v>
      </c>
      <c r="J19" s="160" t="n">
        <v>8</v>
      </c>
      <c r="K19" s="161" t="n">
        <v>11763.19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8</v>
      </c>
      <c r="J20" s="154" t="n">
        <v>8</v>
      </c>
      <c r="K20" s="155" t="n">
        <v>6300</v>
      </c>
      <c r="L20" s="155" t="n">
        <f aca="false">M20+N20</f>
        <v>6300</v>
      </c>
      <c r="M20" s="155" t="n">
        <f aca="false">2986.2+1656.9+1104.6+552.3</f>
        <v>6300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25</v>
      </c>
      <c r="I21" s="160" t="n">
        <v>19</v>
      </c>
      <c r="J21" s="160" t="n">
        <v>26</v>
      </c>
      <c r="K21" s="161" t="n">
        <v>33962.34</v>
      </c>
      <c r="L21" s="161" t="n">
        <f aca="false">M21+N21</f>
        <v>21199.65</v>
      </c>
      <c r="M21" s="161" t="n">
        <v>21199.65</v>
      </c>
      <c r="N21" s="190"/>
      <c r="O21" s="163" t="n">
        <v>20</v>
      </c>
      <c r="P21" s="161" t="n">
        <v>51655.43</v>
      </c>
      <c r="Q21" s="161" t="n">
        <f aca="false">R21+S21</f>
        <v>43580.22</v>
      </c>
      <c r="R21" s="161" t="n">
        <v>43580.22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5</v>
      </c>
      <c r="P22" s="155" t="n">
        <v>6998.2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34</v>
      </c>
      <c r="I23" s="160" t="n">
        <v>27</v>
      </c>
      <c r="J23" s="160" t="n">
        <v>43</v>
      </c>
      <c r="K23" s="161" t="n">
        <v>61668.73</v>
      </c>
      <c r="L23" s="161" t="n">
        <f aca="false">M23+N23</f>
        <v>50485.39</v>
      </c>
      <c r="M23" s="161" t="n">
        <v>50485.39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30</v>
      </c>
      <c r="I25" s="148" t="n">
        <v>23</v>
      </c>
      <c r="J25" s="148" t="n">
        <v>24</v>
      </c>
      <c r="K25" s="148" t="n">
        <v>12047.05</v>
      </c>
      <c r="L25" s="149" t="n">
        <f aca="false">M25+N25</f>
        <v>7775.28</v>
      </c>
      <c r="M25" s="149" t="n">
        <v>7775.28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29</v>
      </c>
      <c r="I27" s="160" t="n">
        <v>28</v>
      </c>
      <c r="J27" s="160" t="n">
        <v>45</v>
      </c>
      <c r="K27" s="161" t="n">
        <v>95686.57</v>
      </c>
      <c r="L27" s="161" t="n">
        <f aca="false">M27+N27</f>
        <v>77966.2</v>
      </c>
      <c r="M27" s="161" t="n">
        <v>68607.98</v>
      </c>
      <c r="N27" s="190" t="n">
        <v>9358.22</v>
      </c>
      <c r="O27" s="151" t="n">
        <v>9</v>
      </c>
      <c r="P27" s="149" t="n">
        <v>30370.2</v>
      </c>
      <c r="Q27" s="149" t="n">
        <f aca="false">R27+S27</f>
        <v>28995.84</v>
      </c>
      <c r="R27" s="149" t="n">
        <v>20128.87</v>
      </c>
      <c r="S27" s="198" t="n">
        <v>8866.97</v>
      </c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10</v>
      </c>
      <c r="I28" s="165" t="n">
        <v>8</v>
      </c>
      <c r="J28" s="165" t="n">
        <v>8</v>
      </c>
      <c r="K28" s="166" t="n">
        <v>7041.05</v>
      </c>
      <c r="L28" s="166" t="n">
        <f aca="false">M28+N28</f>
        <v>5888.45</v>
      </c>
      <c r="M28" s="166" t="n">
        <f aca="false">3126.95+2209.2+552.3</f>
        <v>5888.45</v>
      </c>
      <c r="N28" s="156"/>
      <c r="O28" s="157" t="n">
        <v>15</v>
      </c>
      <c r="P28" s="155" t="n">
        <v>35550.2</v>
      </c>
      <c r="Q28" s="155" t="n">
        <v>35550.2</v>
      </c>
      <c r="R28" s="155" t="n">
        <f aca="false">37943.5+552.3+276.15</f>
        <v>38771.95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1</v>
      </c>
      <c r="J30" s="165" t="n">
        <v>1</v>
      </c>
      <c r="K30" s="166" t="n">
        <v>14955.9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12</v>
      </c>
      <c r="P30" s="166" t="n">
        <v>76276.2</v>
      </c>
      <c r="Q30" s="166" t="n">
        <f aca="false">R30+S30</f>
        <v>46595.9</v>
      </c>
      <c r="R30" s="166" t="n">
        <f aca="false">44754.9+1841</f>
        <v>46595.9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13</v>
      </c>
      <c r="I33" s="160" t="n">
        <v>5</v>
      </c>
      <c r="J33" s="160" t="n">
        <v>6</v>
      </c>
      <c r="K33" s="161" t="n">
        <v>13109.76</v>
      </c>
      <c r="L33" s="161" t="n">
        <f aca="false">M33+N33</f>
        <v>4864.84</v>
      </c>
      <c r="M33" s="161" t="n">
        <v>4864.84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5</v>
      </c>
      <c r="J34" s="165" t="n">
        <v>5</v>
      </c>
      <c r="K34" s="166" t="n">
        <v>13175.94</v>
      </c>
      <c r="L34" s="166" t="n">
        <v>9718.14</v>
      </c>
      <c r="M34" s="166" t="n">
        <v>9718.14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4</v>
      </c>
      <c r="I35" s="148" t="n">
        <v>4</v>
      </c>
      <c r="J35" s="148" t="n">
        <v>4</v>
      </c>
      <c r="K35" s="149" t="n">
        <v>5239.19</v>
      </c>
      <c r="L35" s="149" t="n">
        <f aca="false">M35+N35</f>
        <v>2549.79</v>
      </c>
      <c r="M35" s="149"/>
      <c r="N35" s="150" t="n">
        <v>2549.79</v>
      </c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17</v>
      </c>
      <c r="J37" s="160" t="n">
        <v>18</v>
      </c>
      <c r="K37" s="161" t="n">
        <v>29471.25</v>
      </c>
      <c r="L37" s="161" t="n">
        <f aca="false">M37+N37</f>
        <v>21061.64</v>
      </c>
      <c r="M37" s="161" t="n">
        <v>21061.64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38560.9</v>
      </c>
      <c r="M41" s="161" t="n">
        <v>38560.9</v>
      </c>
      <c r="N41" s="190"/>
      <c r="O41" s="151" t="n">
        <v>17</v>
      </c>
      <c r="P41" s="149" t="n">
        <v>133840.43</v>
      </c>
      <c r="Q41" s="149" t="n">
        <f aca="false">R41+S41</f>
        <v>118843.98</v>
      </c>
      <c r="R41" s="149" t="n">
        <v>118843.98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28</v>
      </c>
      <c r="I43" s="160" t="n">
        <v>24</v>
      </c>
      <c r="J43" s="160" t="n">
        <v>31</v>
      </c>
      <c r="K43" s="161" t="n">
        <v>57240.1</v>
      </c>
      <c r="L43" s="161" t="n">
        <f aca="false">M43+N43</f>
        <v>45365.83</v>
      </c>
      <c r="M43" s="161" t="n">
        <v>45365.83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38763.49</v>
      </c>
      <c r="R46" s="166" t="n">
        <f aca="false">19654.4+16319.08+212.61+2577.4</f>
        <v>38763.49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5</v>
      </c>
      <c r="I47" s="148" t="n">
        <v>2</v>
      </c>
      <c r="J47" s="148" t="n">
        <v>2</v>
      </c>
      <c r="K47" s="149" t="n">
        <v>6630.21</v>
      </c>
      <c r="L47" s="149" t="n">
        <f aca="false">M47+N47</f>
        <v>352.4</v>
      </c>
      <c r="M47" s="149" t="n">
        <v>352.4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13</v>
      </c>
      <c r="I48" s="154" t="n">
        <v>8</v>
      </c>
      <c r="J48" s="154" t="n">
        <v>8</v>
      </c>
      <c r="K48" s="155" t="n">
        <v>19311.05</v>
      </c>
      <c r="L48" s="155" t="n">
        <f aca="false">M48+N48</f>
        <v>11721.05</v>
      </c>
      <c r="M48" s="155" t="n">
        <f aca="false">5885.08+1104.6+3313.8+1417.57</f>
        <v>11721.05</v>
      </c>
      <c r="N48" s="156"/>
      <c r="O48" s="157" t="n">
        <v>9</v>
      </c>
      <c r="P48" s="155" t="n">
        <v>18952.33</v>
      </c>
      <c r="Q48" s="155" t="n">
        <f aca="false">R48+S48</f>
        <v>23738.93</v>
      </c>
      <c r="R48" s="155" t="n">
        <f aca="false">16697.1+966.53+1288.7+2945.6+1841</f>
        <v>23738.93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5</v>
      </c>
      <c r="J51" s="160" t="n">
        <v>9</v>
      </c>
      <c r="K51" s="161" t="n">
        <v>12825.23</v>
      </c>
      <c r="L51" s="161" t="n">
        <f aca="false">M51+N51</f>
        <v>9001.47</v>
      </c>
      <c r="M51" s="161" t="n">
        <v>9001.47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63</v>
      </c>
      <c r="I53" s="148" t="n">
        <v>58</v>
      </c>
      <c r="J53" s="148" t="n">
        <v>61</v>
      </c>
      <c r="K53" s="149" t="n">
        <v>89608.71</v>
      </c>
      <c r="L53" s="149" t="n">
        <f aca="false">M53+N53</f>
        <v>51553.98</v>
      </c>
      <c r="M53" s="149" t="n">
        <v>51553.98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44</v>
      </c>
      <c r="I55" s="160" t="n">
        <v>38</v>
      </c>
      <c r="J55" s="160" t="n">
        <v>54</v>
      </c>
      <c r="K55" s="161" t="n">
        <v>95558.54</v>
      </c>
      <c r="L55" s="161" t="n">
        <f aca="false">M55+N55</f>
        <v>59081.05</v>
      </c>
      <c r="M55" s="161" t="n">
        <v>47432.28</v>
      </c>
      <c r="N55" s="190" t="n">
        <v>11648.77</v>
      </c>
      <c r="O55" s="151" t="n">
        <v>22</v>
      </c>
      <c r="P55" s="149" t="n">
        <v>82722.68</v>
      </c>
      <c r="Q55" s="149" t="n">
        <f aca="false">R55+S55</f>
        <v>81841.68</v>
      </c>
      <c r="R55" s="149" t="n">
        <v>75641.71</v>
      </c>
      <c r="S55" s="198" t="n">
        <v>6199.97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13</v>
      </c>
      <c r="I57" s="160" t="n">
        <v>10</v>
      </c>
      <c r="J57" s="160" t="n">
        <v>13</v>
      </c>
      <c r="K57" s="161" t="n">
        <v>32371.46</v>
      </c>
      <c r="L57" s="161" t="n">
        <f aca="false">M57+N57</f>
        <v>7518.67</v>
      </c>
      <c r="M57" s="161" t="n">
        <v>2654.28</v>
      </c>
      <c r="N57" s="190" t="n">
        <v>4864.39</v>
      </c>
      <c r="O57" s="163" t="n">
        <v>4</v>
      </c>
      <c r="P57" s="161" t="n">
        <v>20218.72</v>
      </c>
      <c r="Q57" s="161" t="n">
        <f aca="false">R57+S57</f>
        <v>20218.72</v>
      </c>
      <c r="R57" s="161" t="n">
        <v>18745.92</v>
      </c>
      <c r="S57" s="190" t="n">
        <v>1472.8</v>
      </c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7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11</v>
      </c>
      <c r="P58" s="166" t="n">
        <v>33429.49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10</v>
      </c>
      <c r="I59" s="148" t="n">
        <v>10</v>
      </c>
      <c r="J59" s="148" t="n">
        <v>17</v>
      </c>
      <c r="K59" s="149" t="n">
        <v>41033.31</v>
      </c>
      <c r="L59" s="149" t="n">
        <f aca="false">M59+N59</f>
        <v>22291.35</v>
      </c>
      <c r="M59" s="149" t="n">
        <v>22291.35</v>
      </c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16</v>
      </c>
      <c r="I61" s="160" t="n">
        <v>1</v>
      </c>
      <c r="J61" s="160" t="n">
        <v>1</v>
      </c>
      <c r="K61" s="161" t="n">
        <v>384.2</v>
      </c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8468.6</v>
      </c>
      <c r="M62" s="166" t="n">
        <f aca="false">5523+1104.6+1288.7+552.3</f>
        <v>8468.6</v>
      </c>
      <c r="N62" s="156"/>
      <c r="O62" s="168" t="n">
        <v>10</v>
      </c>
      <c r="P62" s="166" t="n">
        <v>4249</v>
      </c>
      <c r="Q62" s="166" t="n">
        <f aca="false">R62+S62</f>
        <v>15663.2</v>
      </c>
      <c r="R62" s="166" t="n">
        <f aca="false">4249+11414.2</f>
        <v>15663.2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12</v>
      </c>
      <c r="I63" s="148" t="n">
        <v>6</v>
      </c>
      <c r="J63" s="148" t="n">
        <v>6</v>
      </c>
      <c r="K63" s="149" t="n">
        <v>3220.36</v>
      </c>
      <c r="L63" s="149" t="n">
        <f aca="false">M63+N63</f>
        <v>2154.14</v>
      </c>
      <c r="M63" s="149" t="n">
        <v>881</v>
      </c>
      <c r="N63" s="190" t="n">
        <v>1273.14</v>
      </c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10</v>
      </c>
      <c r="I64" s="154" t="n">
        <v>5</v>
      </c>
      <c r="J64" s="154" t="n">
        <v>5</v>
      </c>
      <c r="K64" s="155" t="n">
        <v>7403.15</v>
      </c>
      <c r="L64" s="155" t="n">
        <f aca="false">M64+N64</f>
        <v>7403.15</v>
      </c>
      <c r="M64" s="155" t="n">
        <f aca="false">5286+1564.85+552.3</f>
        <v>7403.15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33199.65</v>
      </c>
      <c r="M65" s="161" t="n">
        <v>33199.65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10</v>
      </c>
      <c r="J67" s="148" t="n">
        <v>14</v>
      </c>
      <c r="K67" s="149" t="n">
        <v>29586.56</v>
      </c>
      <c r="L67" s="149" t="n">
        <f aca="false">M67+N67</f>
        <v>22953.9</v>
      </c>
      <c r="M67" s="149" t="n">
        <v>3717.82</v>
      </c>
      <c r="N67" s="190" t="n">
        <v>19236.08</v>
      </c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12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17</v>
      </c>
      <c r="I69" s="160" t="n">
        <v>12</v>
      </c>
      <c r="J69" s="160" t="n">
        <v>18</v>
      </c>
      <c r="K69" s="161" t="n">
        <v>30473.91</v>
      </c>
      <c r="L69" s="161" t="n">
        <f aca="false">M69+N69</f>
        <v>24253.38</v>
      </c>
      <c r="M69" s="161" t="n">
        <v>21739.72</v>
      </c>
      <c r="N69" s="190" t="n">
        <v>2513.66</v>
      </c>
      <c r="O69" s="163" t="n">
        <v>12</v>
      </c>
      <c r="P69" s="161" t="n">
        <v>66383.26</v>
      </c>
      <c r="Q69" s="161" t="n">
        <f aca="false">R69+S69</f>
        <v>64116.78</v>
      </c>
      <c r="R69" s="161" t="n">
        <v>62059.28</v>
      </c>
      <c r="S69" s="190" t="n">
        <v>2057.5</v>
      </c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34</v>
      </c>
      <c r="I71" s="148" t="n">
        <v>26</v>
      </c>
      <c r="J71" s="148" t="n">
        <v>36</v>
      </c>
      <c r="K71" s="149" t="n">
        <v>75290.63</v>
      </c>
      <c r="L71" s="149" t="n">
        <f aca="false">M71+N71</f>
        <v>49173.24</v>
      </c>
      <c r="M71" s="149" t="n">
        <v>49173.24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42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53972.66</v>
      </c>
      <c r="M73" s="161" t="n">
        <v>53972.66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 t="n">
        <v>2</v>
      </c>
      <c r="I75" s="148"/>
      <c r="J75" s="148"/>
      <c r="K75" s="149"/>
      <c r="L75" s="149" t="n">
        <f aca="false">M75+N75</f>
        <v>0</v>
      </c>
      <c r="M75" s="149"/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7</v>
      </c>
      <c r="I76" s="154" t="n">
        <v>2</v>
      </c>
      <c r="J76" s="154" t="n">
        <v>2</v>
      </c>
      <c r="K76" s="155" t="n">
        <v>5707.1</v>
      </c>
      <c r="L76" s="155" t="n">
        <f aca="false">M76+N76</f>
        <v>5707.1</v>
      </c>
      <c r="M76" s="155" t="n">
        <f aca="false">2577.4+3129.7</f>
        <v>5707.1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6</v>
      </c>
      <c r="J79" s="148" t="n">
        <v>6</v>
      </c>
      <c r="K79" s="149" t="n">
        <v>6511.48</v>
      </c>
      <c r="L79" s="149" t="n">
        <f aca="false">M79+N79</f>
        <v>3417.03</v>
      </c>
      <c r="M79" s="149" t="n">
        <v>3417.03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21</v>
      </c>
      <c r="I81" s="148" t="n">
        <v>13</v>
      </c>
      <c r="J81" s="148" t="n">
        <v>13</v>
      </c>
      <c r="K81" s="149" t="n">
        <v>50766.09</v>
      </c>
      <c r="L81" s="149" t="n">
        <f aca="false">M81+N81</f>
        <v>32053.43</v>
      </c>
      <c r="M81" s="149" t="n">
        <v>24732.4</v>
      </c>
      <c r="N81" s="190" t="n">
        <v>7321.03</v>
      </c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26</v>
      </c>
      <c r="I82" s="154" t="n">
        <v>16</v>
      </c>
      <c r="J82" s="154" t="n">
        <v>16</v>
      </c>
      <c r="K82" s="155" t="n">
        <v>25408.77</v>
      </c>
      <c r="L82" s="155" t="n">
        <v>25408.77</v>
      </c>
      <c r="M82" s="155" t="n">
        <v>25408.77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7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5</v>
      </c>
      <c r="P83" s="161" t="n">
        <v>56187.23</v>
      </c>
      <c r="Q83" s="161" t="n">
        <f aca="false">R83+S83</f>
        <v>45473.7</v>
      </c>
      <c r="R83" s="161" t="n">
        <v>5123.54</v>
      </c>
      <c r="S83" s="190" t="n">
        <v>40350.16</v>
      </c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6037</v>
      </c>
      <c r="R84" s="166" t="n">
        <f aca="false">2907.3+1841+1288.7</f>
        <v>6037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5</v>
      </c>
      <c r="J85" s="148" t="n">
        <v>6</v>
      </c>
      <c r="K85" s="149" t="n">
        <v>8371.38</v>
      </c>
      <c r="L85" s="149" t="n">
        <f aca="false">M85+N85</f>
        <v>5720.34</v>
      </c>
      <c r="M85" s="149" t="n">
        <v>5720.34</v>
      </c>
      <c r="N85" s="190"/>
      <c r="O85" s="151" t="n">
        <v>12</v>
      </c>
      <c r="P85" s="149" t="n">
        <v>42053.1</v>
      </c>
      <c r="Q85" s="149" t="n">
        <f aca="false">R85+S85</f>
        <v>28668.15</v>
      </c>
      <c r="R85" s="149" t="n">
        <v>28668.15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1841+1656.9</f>
        <v>3497.9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1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18</v>
      </c>
      <c r="I89" s="148" t="n">
        <v>10</v>
      </c>
      <c r="J89" s="148" t="n">
        <v>13</v>
      </c>
      <c r="K89" s="149" t="n">
        <v>24006.42</v>
      </c>
      <c r="L89" s="149" t="n">
        <f aca="false">M89+N89</f>
        <v>8723.07</v>
      </c>
      <c r="M89" s="149" t="n">
        <v>8723.07</v>
      </c>
      <c r="N89" s="190"/>
      <c r="O89" s="151" t="n">
        <v>15</v>
      </c>
      <c r="P89" s="149" t="n">
        <v>54237.55</v>
      </c>
      <c r="Q89" s="149" t="n">
        <f aca="false">R89+S89</f>
        <v>51844.25</v>
      </c>
      <c r="R89" s="149" t="n">
        <v>45595.17</v>
      </c>
      <c r="S89" s="190" t="n">
        <v>6249.08</v>
      </c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41</v>
      </c>
      <c r="I90" s="165" t="n">
        <v>40</v>
      </c>
      <c r="J90" s="165" t="n">
        <v>40</v>
      </c>
      <c r="K90" s="166" t="n">
        <v>46304.7</v>
      </c>
      <c r="L90" s="166" t="n">
        <v>46304.7</v>
      </c>
      <c r="M90" s="166" t="n">
        <v>46304.7</v>
      </c>
      <c r="N90" s="156"/>
      <c r="O90" s="168" t="n">
        <v>41</v>
      </c>
      <c r="P90" s="166" t="n">
        <v>93370.07</v>
      </c>
      <c r="Q90" s="166" t="n">
        <v>93370.07</v>
      </c>
      <c r="R90" s="166" t="n">
        <v>93370.07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11</v>
      </c>
      <c r="I91" s="148" t="n">
        <v>8</v>
      </c>
      <c r="J91" s="148" t="n">
        <v>10</v>
      </c>
      <c r="K91" s="149" t="n">
        <v>14299.39</v>
      </c>
      <c r="L91" s="149" t="n">
        <f aca="false">M91+N91</f>
        <v>10742.58</v>
      </c>
      <c r="M91" s="149" t="n">
        <v>7056.9</v>
      </c>
      <c r="N91" s="190" t="n">
        <v>3685.68</v>
      </c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6</v>
      </c>
      <c r="J92" s="165" t="n">
        <v>6</v>
      </c>
      <c r="K92" s="166" t="n">
        <v>10154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12</v>
      </c>
      <c r="J93" s="148" t="n">
        <v>16</v>
      </c>
      <c r="K93" s="149" t="n">
        <v>34174.37</v>
      </c>
      <c r="L93" s="149" t="n">
        <f aca="false">M93+N93</f>
        <v>28957.76</v>
      </c>
      <c r="M93" s="149" t="n">
        <v>17007.72</v>
      </c>
      <c r="N93" s="190" t="n">
        <v>11950.04</v>
      </c>
      <c r="O93" s="151" t="n">
        <v>17</v>
      </c>
      <c r="P93" s="149" t="n">
        <v>56917.37</v>
      </c>
      <c r="Q93" s="149" t="n">
        <f aca="false">R93+S93</f>
        <v>56917.37</v>
      </c>
      <c r="R93" s="149" t="n">
        <v>48957.86</v>
      </c>
      <c r="S93" s="190" t="n">
        <v>7959.51</v>
      </c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10</v>
      </c>
      <c r="I94" s="154" t="n">
        <v>5</v>
      </c>
      <c r="J94" s="154" t="n">
        <v>5</v>
      </c>
      <c r="K94" s="235" t="n">
        <v>8812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7836.01</v>
      </c>
      <c r="S95" s="190" t="n">
        <v>4844.21</v>
      </c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11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13</v>
      </c>
      <c r="I97" s="160" t="n">
        <v>12</v>
      </c>
      <c r="J97" s="160" t="n">
        <v>18</v>
      </c>
      <c r="K97" s="161" t="n">
        <v>28349.16</v>
      </c>
      <c r="L97" s="161" t="n">
        <f aca="false">M97+N97</f>
        <v>22159.57</v>
      </c>
      <c r="M97" s="161" t="n">
        <v>11231.55</v>
      </c>
      <c r="N97" s="190" t="n">
        <v>10928.02</v>
      </c>
      <c r="O97" s="163" t="n">
        <v>9</v>
      </c>
      <c r="P97" s="161" t="n">
        <v>62858.94</v>
      </c>
      <c r="Q97" s="161" t="n">
        <f aca="false">R97+S97</f>
        <v>62858.94</v>
      </c>
      <c r="R97" s="161" t="n">
        <v>51100.74</v>
      </c>
      <c r="S97" s="190" t="n">
        <v>11758.2</v>
      </c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9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9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9768.84</v>
      </c>
      <c r="M99" s="149" t="n">
        <v>9768.84</v>
      </c>
      <c r="N99" s="190"/>
      <c r="O99" s="151" t="n">
        <v>4</v>
      </c>
      <c r="P99" s="149" t="n">
        <v>12683.33</v>
      </c>
      <c r="Q99" s="149" t="n">
        <f aca="false">R99+S99</f>
        <v>10069.05</v>
      </c>
      <c r="R99" s="149" t="n">
        <v>10069.05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7</v>
      </c>
      <c r="I100" s="154" t="n">
        <v>4</v>
      </c>
      <c r="J100" s="154" t="n">
        <v>4</v>
      </c>
      <c r="K100" s="155" t="n">
        <v>14343.3</v>
      </c>
      <c r="L100" s="155" t="n">
        <f aca="false">M100+N100</f>
        <v>12581.3</v>
      </c>
      <c r="M100" s="155" t="n">
        <f aca="false">10924.4+1656.9</f>
        <v>12581.3</v>
      </c>
      <c r="N100" s="156"/>
      <c r="O100" s="157" t="n">
        <v>5</v>
      </c>
      <c r="P100" s="155" t="n">
        <v>14649.4</v>
      </c>
      <c r="Q100" s="155" t="n">
        <f aca="false">R100+S100</f>
        <v>9494.2</v>
      </c>
      <c r="R100" s="155" t="n">
        <f aca="false">1762+7732.2</f>
        <v>9494.2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39</v>
      </c>
      <c r="I101" s="160" t="n">
        <v>33</v>
      </c>
      <c r="J101" s="160" t="n">
        <v>37</v>
      </c>
      <c r="K101" s="161" t="n">
        <v>73327.75</v>
      </c>
      <c r="L101" s="161" t="n">
        <f aca="false">M101+N101</f>
        <v>50881.45</v>
      </c>
      <c r="M101" s="161" t="n">
        <v>50881.45</v>
      </c>
      <c r="N101" s="190"/>
      <c r="O101" s="163" t="n">
        <v>27</v>
      </c>
      <c r="P101" s="161" t="n">
        <v>156948.15</v>
      </c>
      <c r="Q101" s="161" t="n">
        <f aca="false">R101+S101</f>
        <v>140693.74</v>
      </c>
      <c r="R101" s="161" t="n">
        <v>140693.74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30217.9</v>
      </c>
      <c r="R102" s="166" t="n">
        <f aca="false">21936.9+1233.4+5758.9+1288.7</f>
        <v>30217.9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27</v>
      </c>
      <c r="I103" s="148" t="n">
        <v>21</v>
      </c>
      <c r="J103" s="148" t="n">
        <v>22</v>
      </c>
      <c r="K103" s="149" t="n">
        <v>27583.66</v>
      </c>
      <c r="L103" s="149" t="n">
        <f aca="false">M103+N103</f>
        <v>13827.75</v>
      </c>
      <c r="M103" s="149" t="n">
        <v>12723.15</v>
      </c>
      <c r="N103" s="190" t="n">
        <v>1104.6</v>
      </c>
      <c r="O103" s="151" t="n">
        <v>4</v>
      </c>
      <c r="P103" s="149" t="n">
        <v>22149.17</v>
      </c>
      <c r="Q103" s="149" t="n">
        <f aca="false">R103+S103</f>
        <v>18333.88</v>
      </c>
      <c r="R103" s="149" t="n">
        <v>12380.09</v>
      </c>
      <c r="S103" s="190" t="n">
        <v>5953.79</v>
      </c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18571.85</v>
      </c>
      <c r="R104" s="165" t="n">
        <f aca="false">9735.05+8836.8</f>
        <v>18571.85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15</v>
      </c>
      <c r="I105" s="148" t="n">
        <v>13</v>
      </c>
      <c r="J105" s="148" t="n">
        <v>15</v>
      </c>
      <c r="K105" s="149" t="n">
        <v>13604.58</v>
      </c>
      <c r="L105" s="149" t="n">
        <f aca="false">M105+N105</f>
        <v>11054.79</v>
      </c>
      <c r="M105" s="149" t="n">
        <v>11054.79</v>
      </c>
      <c r="N105" s="190"/>
      <c r="O105" s="151" t="n">
        <v>12</v>
      </c>
      <c r="P105" s="149" t="n">
        <v>66472.81</v>
      </c>
      <c r="Q105" s="149" t="n">
        <f aca="false">R105+S105</f>
        <v>47140.25</v>
      </c>
      <c r="R105" s="149" t="n">
        <v>47140.25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11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5</v>
      </c>
      <c r="J107" s="154" t="n">
        <v>5</v>
      </c>
      <c r="K107" s="155" t="n">
        <v>6866.65</v>
      </c>
      <c r="L107" s="155" t="n">
        <v>6866.65</v>
      </c>
      <c r="M107" s="155" t="n">
        <v>6866.65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12</v>
      </c>
      <c r="I108" s="160" t="n">
        <v>8</v>
      </c>
      <c r="J108" s="160" t="n">
        <v>10</v>
      </c>
      <c r="K108" s="161" t="n">
        <v>18774.6</v>
      </c>
      <c r="L108" s="161" t="n">
        <f aca="false">M108+N108</f>
        <v>13195.1</v>
      </c>
      <c r="M108" s="161" t="n">
        <v>11123.42</v>
      </c>
      <c r="N108" s="190" t="n">
        <v>2071.68</v>
      </c>
      <c r="O108" s="163" t="n">
        <v>12</v>
      </c>
      <c r="P108" s="161" t="n">
        <v>43029.23</v>
      </c>
      <c r="Q108" s="161" t="n">
        <f aca="false">R108+S108</f>
        <v>40146.74</v>
      </c>
      <c r="R108" s="161" t="n">
        <v>35453.78</v>
      </c>
      <c r="S108" s="190" t="n">
        <v>4692.96</v>
      </c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13</v>
      </c>
      <c r="I110" s="148" t="n">
        <v>9</v>
      </c>
      <c r="J110" s="148" t="n">
        <v>10</v>
      </c>
      <c r="K110" s="149" t="n">
        <v>12245.21</v>
      </c>
      <c r="L110" s="149" t="n">
        <f aca="false">M110+N110</f>
        <v>7909.09</v>
      </c>
      <c r="M110" s="149" t="n">
        <v>7909.09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35</v>
      </c>
      <c r="I112" s="148" t="n">
        <v>33</v>
      </c>
      <c r="J112" s="148" t="n">
        <v>44</v>
      </c>
      <c r="K112" s="149" t="n">
        <v>65844.49</v>
      </c>
      <c r="L112" s="149" t="n">
        <f aca="false">M112+N112</f>
        <v>48974.66</v>
      </c>
      <c r="M112" s="149" t="n">
        <v>41314.16</v>
      </c>
      <c r="N112" s="190" t="n">
        <v>7660.5</v>
      </c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16087.08</v>
      </c>
      <c r="S112" s="190" t="n">
        <v>7951.85</v>
      </c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10</v>
      </c>
      <c r="I113" s="165" t="n">
        <v>7</v>
      </c>
      <c r="J113" s="165" t="n">
        <v>7</v>
      </c>
      <c r="K113" s="166" t="n">
        <v>18550.85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/>
      <c r="N114" s="190" t="n">
        <v>386.61</v>
      </c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17</v>
      </c>
      <c r="I116" s="160" t="n">
        <v>11</v>
      </c>
      <c r="J116" s="160" t="n">
        <v>12</v>
      </c>
      <c r="K116" s="161" t="n">
        <v>14095.27</v>
      </c>
      <c r="L116" s="161" t="n">
        <f aca="false">M116+N116</f>
        <v>9972.74</v>
      </c>
      <c r="M116" s="161" t="n">
        <v>9972.74</v>
      </c>
      <c r="N116" s="190"/>
      <c r="O116" s="163" t="n">
        <v>5</v>
      </c>
      <c r="P116" s="161" t="n">
        <v>16326.21</v>
      </c>
      <c r="Q116" s="161" t="n">
        <f aca="false">R116+S116</f>
        <v>12699.66</v>
      </c>
      <c r="R116" s="161" t="n">
        <v>12699.66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 t="n">
        <f aca="false">8100.4</f>
        <v>8100.4</v>
      </c>
      <c r="N117" s="156"/>
      <c r="O117" s="157" t="n">
        <v>9</v>
      </c>
      <c r="P117" s="155" t="n">
        <v>22553.6</v>
      </c>
      <c r="Q117" s="155" t="n">
        <f aca="false">R117+S117</f>
        <v>27156.1</v>
      </c>
      <c r="R117" s="155" t="n">
        <f aca="false">528.6+22025+4602.5</f>
        <v>27156.1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37</v>
      </c>
      <c r="I118" s="160" t="n">
        <v>30</v>
      </c>
      <c r="J118" s="160" t="n">
        <v>44</v>
      </c>
      <c r="K118" s="161" t="n">
        <v>85107.23</v>
      </c>
      <c r="L118" s="161" t="n">
        <f aca="false">M118+N118</f>
        <v>46541.91</v>
      </c>
      <c r="M118" s="161" t="n">
        <v>46541.91</v>
      </c>
      <c r="N118" s="190"/>
      <c r="O118" s="163" t="n">
        <v>31</v>
      </c>
      <c r="P118" s="161" t="n">
        <v>60867.86</v>
      </c>
      <c r="Q118" s="161" t="n">
        <f aca="false">R118+S118</f>
        <v>50029.94</v>
      </c>
      <c r="R118" s="161" t="n">
        <v>50029.94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 t="s">
        <v>290</v>
      </c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48</v>
      </c>
      <c r="I122" s="148" t="n">
        <v>38</v>
      </c>
      <c r="J122" s="148" t="n">
        <v>49</v>
      </c>
      <c r="K122" s="149" t="n">
        <v>63894.15</v>
      </c>
      <c r="L122" s="149" t="n">
        <f aca="false">M122+N122</f>
        <v>34241.19</v>
      </c>
      <c r="M122" s="149" t="n">
        <v>34241.19</v>
      </c>
      <c r="N122" s="190"/>
      <c r="O122" s="151" t="n">
        <v>17</v>
      </c>
      <c r="P122" s="149" t="n">
        <v>27273.72</v>
      </c>
      <c r="Q122" s="149" t="n">
        <f aca="false">R122+S122</f>
        <v>19539.73</v>
      </c>
      <c r="R122" s="149" t="n">
        <v>19539.73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29</v>
      </c>
      <c r="I123" s="165" t="n">
        <v>19</v>
      </c>
      <c r="J123" s="165" t="n">
        <v>19</v>
      </c>
      <c r="K123" s="166" t="n">
        <v>21121.69</v>
      </c>
      <c r="L123" s="166" t="n">
        <v>21121.69</v>
      </c>
      <c r="M123" s="166" t="n">
        <v>21121.69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35</v>
      </c>
      <c r="I124" s="148" t="n">
        <v>27</v>
      </c>
      <c r="J124" s="148" t="n">
        <v>37</v>
      </c>
      <c r="K124" s="149" t="n">
        <v>151308.72</v>
      </c>
      <c r="L124" s="149" t="n">
        <f aca="false">M124+N124</f>
        <v>78634.92</v>
      </c>
      <c r="M124" s="149" t="n">
        <v>78634.92</v>
      </c>
      <c r="N124" s="190"/>
      <c r="O124" s="151" t="n">
        <v>24</v>
      </c>
      <c r="P124" s="149" t="n">
        <v>86775.94</v>
      </c>
      <c r="Q124" s="149" t="n">
        <f aca="false">R124+S124</f>
        <v>67667.88</v>
      </c>
      <c r="R124" s="149" t="n">
        <v>67667.88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46</v>
      </c>
      <c r="I126" s="160" t="n">
        <v>30</v>
      </c>
      <c r="J126" s="160" t="n">
        <v>32</v>
      </c>
      <c r="K126" s="161" t="n">
        <v>136346.41</v>
      </c>
      <c r="L126" s="161" t="n">
        <f aca="false">M126+N126</f>
        <v>33685.02</v>
      </c>
      <c r="M126" s="161" t="n">
        <v>33685.02</v>
      </c>
      <c r="N126" s="190"/>
      <c r="O126" s="163" t="n">
        <v>24</v>
      </c>
      <c r="P126" s="161" t="n">
        <v>180548.83</v>
      </c>
      <c r="Q126" s="161" t="n">
        <f aca="false">R126+S126</f>
        <v>124793.48</v>
      </c>
      <c r="R126" s="161" t="n">
        <v>124793.48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1</v>
      </c>
      <c r="J128" s="165" t="n">
        <v>2</v>
      </c>
      <c r="K128" s="166" t="n">
        <v>8059.66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12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10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7391.03</v>
      </c>
      <c r="M131" s="161" t="n">
        <v>7391.03</v>
      </c>
      <c r="N131" s="190"/>
      <c r="O131" s="163" t="n">
        <v>10</v>
      </c>
      <c r="P131" s="161" t="n">
        <v>26604.95</v>
      </c>
      <c r="Q131" s="161" t="n">
        <f aca="false">R131+S131</f>
        <v>22293.04</v>
      </c>
      <c r="R131" s="161" t="n">
        <v>22293.04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16749.33</v>
      </c>
      <c r="R132" s="155" t="n">
        <f aca="false">1585.8+1585.8+6070.83+5041.6+2465.3</f>
        <v>16749.33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9</v>
      </c>
      <c r="J133" s="192" t="n">
        <v>9</v>
      </c>
      <c r="K133" s="161" t="n">
        <v>25955.15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16726.6</v>
      </c>
      <c r="N135" s="190" t="n">
        <v>5347.7</v>
      </c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39667.8</v>
      </c>
      <c r="S135" s="190" t="n">
        <v>6777.26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15</v>
      </c>
      <c r="J136" s="165" t="n">
        <v>15</v>
      </c>
      <c r="K136" s="166" t="n">
        <v>15227.05</v>
      </c>
      <c r="L136" s="166" t="n">
        <v>15227.05</v>
      </c>
      <c r="M136" s="166" t="n">
        <v>15227.05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40</v>
      </c>
      <c r="I137" s="148" t="n">
        <v>34</v>
      </c>
      <c r="J137" s="148" t="n">
        <v>46</v>
      </c>
      <c r="K137" s="149" t="n">
        <v>116327.91</v>
      </c>
      <c r="L137" s="149" t="n">
        <f aca="false">M137+N137</f>
        <v>78739.66</v>
      </c>
      <c r="M137" s="149" t="n">
        <v>78739.66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21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22</v>
      </c>
      <c r="J142" s="160" t="n">
        <v>24</v>
      </c>
      <c r="K142" s="161" t="n">
        <v>15732.83</v>
      </c>
      <c r="L142" s="161" t="n">
        <f aca="false">M142+N142</f>
        <v>11923.35</v>
      </c>
      <c r="M142" s="161" t="n">
        <v>11923.35</v>
      </c>
      <c r="N142" s="190"/>
      <c r="O142" s="163" t="n">
        <v>26</v>
      </c>
      <c r="P142" s="161" t="n">
        <v>58665.77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20</v>
      </c>
      <c r="I143" s="181" t="n">
        <v>8</v>
      </c>
      <c r="J143" s="181" t="n">
        <v>8</v>
      </c>
      <c r="K143" s="182" t="n">
        <v>8314.95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11</v>
      </c>
      <c r="I145" s="148" t="n">
        <v>8</v>
      </c>
      <c r="J145" s="148" t="n">
        <v>10</v>
      </c>
      <c r="K145" s="149" t="n">
        <v>9888.03</v>
      </c>
      <c r="L145" s="149" t="n">
        <f aca="false">M145+N145</f>
        <v>4673.26</v>
      </c>
      <c r="M145" s="149" t="n">
        <v>4673.26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29</v>
      </c>
      <c r="I147" s="160" t="n">
        <v>22</v>
      </c>
      <c r="J147" s="160" t="n">
        <v>23</v>
      </c>
      <c r="K147" s="161" t="n">
        <v>29062.09</v>
      </c>
      <c r="L147" s="161" t="n">
        <f aca="false">M147+N147</f>
        <v>21127.38</v>
      </c>
      <c r="M147" s="161" t="n">
        <v>21127.38</v>
      </c>
      <c r="N147" s="190"/>
      <c r="O147" s="163" t="n">
        <v>10</v>
      </c>
      <c r="P147" s="161" t="n">
        <v>36383.86</v>
      </c>
      <c r="Q147" s="161" t="n">
        <f aca="false">R147+S147</f>
        <v>30446.34</v>
      </c>
      <c r="R147" s="161" t="n">
        <v>30446.34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10</v>
      </c>
      <c r="I148" s="165" t="n">
        <v>3</v>
      </c>
      <c r="J148" s="165" t="n">
        <v>3</v>
      </c>
      <c r="K148" s="166" t="n">
        <v>12202.9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10</v>
      </c>
      <c r="I149" s="148" t="n">
        <v>7</v>
      </c>
      <c r="J149" s="148" t="n">
        <v>11</v>
      </c>
      <c r="K149" s="149" t="n">
        <v>28487.04</v>
      </c>
      <c r="L149" s="149" t="n">
        <f aca="false">M149+N149</f>
        <v>12426.72</v>
      </c>
      <c r="M149" s="149" t="n">
        <v>8028.11</v>
      </c>
      <c r="N149" s="190" t="n">
        <v>4398.61</v>
      </c>
      <c r="O149" s="151" t="n">
        <v>13</v>
      </c>
      <c r="P149" s="149" t="n">
        <v>70014.67</v>
      </c>
      <c r="Q149" s="149" t="n">
        <f aca="false">R149+S149</f>
        <v>70386.17</v>
      </c>
      <c r="R149" s="149" t="n">
        <v>70386.17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9</v>
      </c>
      <c r="P150" s="166" t="n">
        <v>30571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4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1834.44</v>
      </c>
      <c r="M151" s="149"/>
      <c r="N151" s="224" t="n">
        <v>1834.44</v>
      </c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6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3534.72</v>
      </c>
      <c r="M152" s="155" t="n">
        <f aca="false">2430.12+1104.6</f>
        <v>3534.72</v>
      </c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2</v>
      </c>
      <c r="J153" s="160" t="n">
        <v>2</v>
      </c>
      <c r="K153" s="161" t="n">
        <v>22424.13</v>
      </c>
      <c r="L153" s="161" t="n">
        <f aca="false">M153+N153</f>
        <v>0</v>
      </c>
      <c r="M153" s="161"/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 t="n">
        <v>2</v>
      </c>
      <c r="J155" s="148" t="n">
        <v>2</v>
      </c>
      <c r="K155" s="149" t="n">
        <v>7305.59</v>
      </c>
      <c r="L155" s="149" t="n">
        <f aca="false">M155+N155</f>
        <v>0</v>
      </c>
      <c r="M155" s="149"/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6</v>
      </c>
      <c r="J157" s="160" t="n">
        <v>7</v>
      </c>
      <c r="K157" s="161" t="n">
        <v>17193.36</v>
      </c>
      <c r="L157" s="161" t="n">
        <f aca="false">M157+N157</f>
        <v>1617.46</v>
      </c>
      <c r="M157" s="161" t="n">
        <v>1617.46</v>
      </c>
      <c r="N157" s="190"/>
      <c r="O157" s="163" t="n">
        <v>14</v>
      </c>
      <c r="P157" s="161" t="n">
        <v>62497.26</v>
      </c>
      <c r="Q157" s="161" t="n">
        <f aca="false">R157+S157</f>
        <v>54093.04</v>
      </c>
      <c r="R157" s="161" t="n">
        <v>54093.04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9</v>
      </c>
      <c r="P158" s="166" t="n">
        <v>25374.06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18</v>
      </c>
      <c r="I159" s="148" t="n">
        <v>16</v>
      </c>
      <c r="J159" s="148" t="n">
        <v>21</v>
      </c>
      <c r="K159" s="149" t="n">
        <v>45710.62</v>
      </c>
      <c r="L159" s="149" t="n">
        <f aca="false">M159+N159</f>
        <v>21755.92</v>
      </c>
      <c r="M159" s="149" t="n">
        <v>21755.92</v>
      </c>
      <c r="N159" s="190"/>
      <c r="O159" s="151" t="n">
        <v>25</v>
      </c>
      <c r="P159" s="149" t="n">
        <v>59355.48</v>
      </c>
      <c r="Q159" s="149" t="n">
        <f aca="false">R159+S159</f>
        <v>49670.54</v>
      </c>
      <c r="R159" s="149" t="n">
        <v>49670.54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9</v>
      </c>
      <c r="J160" s="165" t="n">
        <v>9</v>
      </c>
      <c r="K160" s="166" t="n">
        <v>30395.78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18</v>
      </c>
      <c r="P160" s="155" t="n">
        <v>73281.66</v>
      </c>
      <c r="Q160" s="155" t="n">
        <f aca="false">R160+S160</f>
        <v>74699.23</v>
      </c>
      <c r="R160" s="155" t="n">
        <f aca="false">66838.16+5891.2+552.3+1417.57</f>
        <v>74699.23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32</v>
      </c>
      <c r="I161" s="148" t="n">
        <v>30</v>
      </c>
      <c r="J161" s="193" t="n">
        <v>37</v>
      </c>
      <c r="K161" s="149" t="n">
        <v>56470.67</v>
      </c>
      <c r="L161" s="149" t="n">
        <f aca="false">M161+N161</f>
        <v>37553.38</v>
      </c>
      <c r="M161" s="149" t="n">
        <v>37553.38</v>
      </c>
      <c r="N161" s="190"/>
      <c r="O161" s="163" t="n">
        <v>23</v>
      </c>
      <c r="P161" s="161" t="n">
        <v>149467.91</v>
      </c>
      <c r="Q161" s="161" t="n">
        <f aca="false">R161+S161</f>
        <v>101109.38</v>
      </c>
      <c r="R161" s="161" t="n">
        <v>101109.38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5</v>
      </c>
      <c r="J162" s="165" t="n">
        <v>3</v>
      </c>
      <c r="K162" s="166" t="n">
        <v>12137.2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31</v>
      </c>
      <c r="I165" s="160" t="n">
        <v>30</v>
      </c>
      <c r="J165" s="160" t="n">
        <v>45</v>
      </c>
      <c r="K165" s="140" t="n">
        <v>108625.49</v>
      </c>
      <c r="L165" s="140" t="n">
        <f aca="false">M165+N165</f>
        <v>79081.21</v>
      </c>
      <c r="M165" s="140" t="n">
        <v>71945.49</v>
      </c>
      <c r="N165" s="190" t="n">
        <v>7135.72</v>
      </c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29719.69</v>
      </c>
      <c r="S165" s="190" t="n">
        <v>2761.5</v>
      </c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18</v>
      </c>
      <c r="I167" s="148" t="n">
        <v>15</v>
      </c>
      <c r="J167" s="148" t="n">
        <v>22</v>
      </c>
      <c r="K167" s="149" t="n">
        <v>59114.72</v>
      </c>
      <c r="L167" s="149" t="n">
        <f aca="false">M167+N167</f>
        <v>41719.29</v>
      </c>
      <c r="M167" s="149" t="n">
        <v>32741.22</v>
      </c>
      <c r="N167" s="190" t="n">
        <v>8978.07</v>
      </c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5797.48</v>
      </c>
      <c r="Q169" s="161" t="n">
        <f aca="false">R169+S169</f>
        <v>5797.48</v>
      </c>
      <c r="R169" s="161" t="n">
        <v>5797.48</v>
      </c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6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30</v>
      </c>
      <c r="I173" s="160" t="n">
        <v>26</v>
      </c>
      <c r="J173" s="160" t="n">
        <v>31</v>
      </c>
      <c r="K173" s="161" t="n">
        <v>65157.65</v>
      </c>
      <c r="L173" s="161" t="n">
        <f aca="false">M173+N173</f>
        <v>44734.37</v>
      </c>
      <c r="M173" s="161" t="n">
        <v>44734.37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7</v>
      </c>
      <c r="I174" s="154" t="n">
        <v>5</v>
      </c>
      <c r="J174" s="154" t="n">
        <v>5</v>
      </c>
      <c r="K174" s="155" t="n">
        <v>9665.5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30</v>
      </c>
      <c r="I175" s="160" t="n">
        <v>25</v>
      </c>
      <c r="J175" s="160" t="n">
        <v>34</v>
      </c>
      <c r="K175" s="161" t="n">
        <v>41754.06</v>
      </c>
      <c r="L175" s="161" t="n">
        <f aca="false">M175+N175</f>
        <v>15676.78</v>
      </c>
      <c r="M175" s="161" t="n">
        <v>15676.78</v>
      </c>
      <c r="N175" s="190"/>
      <c r="O175" s="163" t="n">
        <v>24</v>
      </c>
      <c r="P175" s="161" t="n">
        <v>63326.02</v>
      </c>
      <c r="Q175" s="161" t="n">
        <f aca="false">R175+S175</f>
        <v>46122.58</v>
      </c>
      <c r="R175" s="161" t="n">
        <v>46122.58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13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5063.02</v>
      </c>
      <c r="M176" s="166" t="n">
        <f aca="false">1585.8+2924.92+552.3</f>
        <v>5063.02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17</v>
      </c>
      <c r="I177" s="148" t="n">
        <v>8</v>
      </c>
      <c r="J177" s="148" t="n">
        <v>11</v>
      </c>
      <c r="K177" s="149" t="n">
        <v>21666.31</v>
      </c>
      <c r="L177" s="149" t="n">
        <f aca="false">M177+N177</f>
        <v>18963.4</v>
      </c>
      <c r="M177" s="149" t="n">
        <v>18963.4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12430.95</v>
      </c>
      <c r="R181" s="166" t="n">
        <f aca="false">1762+1278.41+2862.29+1189.35+1288.7+4050.2</f>
        <v>12430.95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2643</v>
      </c>
      <c r="R182" s="149" t="n">
        <v>2643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11276.8+2945.6</f>
        <v>14222.4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2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/>
      <c r="N188" s="190" t="n">
        <v>649.87</v>
      </c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8</v>
      </c>
      <c r="I189" s="200" t="n">
        <v>6</v>
      </c>
      <c r="J189" s="200" t="n">
        <v>6</v>
      </c>
      <c r="K189" s="201" t="n">
        <v>11966.96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8689.1</v>
      </c>
      <c r="R190" s="161" t="n">
        <v>7400.4</v>
      </c>
      <c r="S190" s="190" t="n">
        <v>1288.7</v>
      </c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49</v>
      </c>
      <c r="I192" s="148" t="n">
        <v>44</v>
      </c>
      <c r="J192" s="148" t="n">
        <v>69</v>
      </c>
      <c r="K192" s="149" t="n">
        <v>115186.85</v>
      </c>
      <c r="L192" s="149" t="n">
        <f aca="false">M192+N192</f>
        <v>89688.59</v>
      </c>
      <c r="M192" s="149" t="n">
        <v>89688.59</v>
      </c>
      <c r="N192" s="190"/>
      <c r="O192" s="151" t="n">
        <v>38</v>
      </c>
      <c r="P192" s="149" t="n">
        <v>139570.66</v>
      </c>
      <c r="Q192" s="149" t="n">
        <f aca="false">R192+S192</f>
        <v>136168.49</v>
      </c>
      <c r="R192" s="149" t="n">
        <v>136168.49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13</v>
      </c>
      <c r="I194" s="160" t="n">
        <v>11</v>
      </c>
      <c r="J194" s="160" t="n">
        <v>11</v>
      </c>
      <c r="K194" s="161" t="n">
        <v>8243.76</v>
      </c>
      <c r="L194" s="161" t="n">
        <f aca="false">M194+N194</f>
        <v>5850.46</v>
      </c>
      <c r="M194" s="161" t="n">
        <v>4193.56</v>
      </c>
      <c r="N194" s="190" t="n">
        <v>1656.9</v>
      </c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7</v>
      </c>
      <c r="J195" s="165" t="n">
        <v>7</v>
      </c>
      <c r="K195" s="166" t="n">
        <v>12518.8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31</v>
      </c>
      <c r="I196" s="148" t="n">
        <v>21</v>
      </c>
      <c r="J196" s="148" t="n">
        <v>25</v>
      </c>
      <c r="K196" s="149" t="n">
        <v>41315.53</v>
      </c>
      <c r="L196" s="149" t="n">
        <f aca="false">M196+N196</f>
        <v>27094.04</v>
      </c>
      <c r="M196" s="149" t="n">
        <v>27094.04</v>
      </c>
      <c r="N196" s="190"/>
      <c r="O196" s="151" t="n">
        <v>14</v>
      </c>
      <c r="P196" s="149" t="n">
        <v>29562.2</v>
      </c>
      <c r="Q196" s="149" t="n">
        <f aca="false">R196+S196</f>
        <v>25417.55</v>
      </c>
      <c r="R196" s="149" t="n">
        <v>25417.55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66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63791.94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16</v>
      </c>
      <c r="I199" s="154" t="n">
        <v>12</v>
      </c>
      <c r="J199" s="154" t="n">
        <v>12</v>
      </c>
      <c r="K199" s="155" t="n">
        <v>13923.11</v>
      </c>
      <c r="L199" s="155" t="n">
        <v>13923.11</v>
      </c>
      <c r="M199" s="155" t="n">
        <v>13923.11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29</v>
      </c>
      <c r="I200" s="160" t="n">
        <v>22</v>
      </c>
      <c r="J200" s="160" t="n">
        <v>28</v>
      </c>
      <c r="K200" s="161" t="n">
        <v>70491.28</v>
      </c>
      <c r="L200" s="161" t="n">
        <f aca="false">M200+N200</f>
        <v>45075.64</v>
      </c>
      <c r="M200" s="161" t="n">
        <v>45075.64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36</v>
      </c>
      <c r="I201" s="165" t="n">
        <v>19</v>
      </c>
      <c r="J201" s="165" t="n">
        <v>19</v>
      </c>
      <c r="K201" s="166" t="n">
        <v>53959.63</v>
      </c>
      <c r="L201" s="166" t="n">
        <v>42312.93</v>
      </c>
      <c r="M201" s="166" t="n">
        <v>42312.93</v>
      </c>
      <c r="N201" s="156"/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36</v>
      </c>
      <c r="I202" s="148" t="n">
        <v>30</v>
      </c>
      <c r="J202" s="148" t="n">
        <v>38</v>
      </c>
      <c r="K202" s="149" t="n">
        <v>52095.62</v>
      </c>
      <c r="L202" s="149" t="n">
        <f aca="false">M202+N202</f>
        <v>23180.8</v>
      </c>
      <c r="M202" s="149" t="n">
        <v>23180.8</v>
      </c>
      <c r="N202" s="190"/>
      <c r="O202" s="151" t="n">
        <v>28</v>
      </c>
      <c r="P202" s="149" t="n">
        <v>117273.29</v>
      </c>
      <c r="Q202" s="149" t="n">
        <f aca="false">R202+S202</f>
        <v>47491.14</v>
      </c>
      <c r="R202" s="149" t="n">
        <v>47491.14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621.99</v>
      </c>
      <c r="M204" s="149"/>
      <c r="N204" s="190" t="n">
        <v>621.99</v>
      </c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4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19</v>
      </c>
      <c r="J208" s="160" t="n">
        <v>22</v>
      </c>
      <c r="K208" s="161" t="n">
        <v>25544.63</v>
      </c>
      <c r="L208" s="161" t="n">
        <f aca="false">M208+N208</f>
        <v>13026.32</v>
      </c>
      <c r="M208" s="161" t="n">
        <v>13026.32</v>
      </c>
      <c r="N208" s="190"/>
      <c r="O208" s="163" t="n">
        <v>9</v>
      </c>
      <c r="P208" s="161" t="n">
        <v>88573.81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8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15</v>
      </c>
      <c r="I210" s="148" t="n">
        <v>13</v>
      </c>
      <c r="J210" s="148" t="n">
        <v>23</v>
      </c>
      <c r="K210" s="149" t="n">
        <v>69022.94</v>
      </c>
      <c r="L210" s="149" t="n">
        <f aca="false">M210+N210</f>
        <v>55173.64</v>
      </c>
      <c r="M210" s="149" t="n">
        <v>55173.64</v>
      </c>
      <c r="N210" s="190"/>
      <c r="O210" s="151" t="n">
        <v>19</v>
      </c>
      <c r="P210" s="149" t="n">
        <v>176100.35</v>
      </c>
      <c r="Q210" s="149" t="n">
        <f aca="false">R210+S210</f>
        <v>155776.9</v>
      </c>
      <c r="R210" s="149" t="n">
        <v>155776.9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27</v>
      </c>
      <c r="I212" s="160" t="n">
        <v>19</v>
      </c>
      <c r="J212" s="160" t="n">
        <v>34</v>
      </c>
      <c r="K212" s="161" t="n">
        <v>72421.79</v>
      </c>
      <c r="L212" s="161" t="n">
        <f aca="false">M212+N212</f>
        <v>48467.24</v>
      </c>
      <c r="M212" s="161" t="n">
        <v>41900.39</v>
      </c>
      <c r="N212" s="190" t="n">
        <v>6566.85</v>
      </c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20592.86</v>
      </c>
      <c r="N214" s="190"/>
      <c r="O214" s="151" t="n">
        <v>3</v>
      </c>
      <c r="P214" s="149" t="n">
        <v>5504.35</v>
      </c>
      <c r="Q214" s="149" t="n">
        <f aca="false">R214+S214</f>
        <v>5504.35</v>
      </c>
      <c r="R214" s="149" t="n">
        <v>5504.35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6</v>
      </c>
      <c r="I215" s="165" t="n">
        <v>3</v>
      </c>
      <c r="J215" s="165" t="n">
        <v>3</v>
      </c>
      <c r="K215" s="166" t="n">
        <v>5526.59</v>
      </c>
      <c r="L215" s="166" t="n">
        <f aca="false">M215+N215</f>
        <v>3250.6</v>
      </c>
      <c r="M215" s="166" t="n">
        <f aca="false">1409.6+1841</f>
        <v>3250.6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2</v>
      </c>
      <c r="P216" s="149" t="n">
        <v>14307.96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7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11</v>
      </c>
      <c r="P217" s="166" t="n">
        <v>42378.32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29</v>
      </c>
      <c r="I218" s="148" t="n">
        <v>19</v>
      </c>
      <c r="J218" s="148" t="n">
        <v>27</v>
      </c>
      <c r="K218" s="149" t="n">
        <v>48677.17</v>
      </c>
      <c r="L218" s="149" t="n">
        <f aca="false">M218+N218</f>
        <v>23625.82</v>
      </c>
      <c r="M218" s="149" t="n">
        <v>17185.96</v>
      </c>
      <c r="N218" s="190" t="n">
        <v>6439.86</v>
      </c>
      <c r="O218" s="151" t="n">
        <v>14</v>
      </c>
      <c r="P218" s="149" t="n">
        <v>51085.65</v>
      </c>
      <c r="Q218" s="149" t="n">
        <f aca="false">R218+S218</f>
        <v>42132.95</v>
      </c>
      <c r="R218" s="149" t="n">
        <v>42132.95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6</v>
      </c>
      <c r="K219" s="155" t="n">
        <v>13233.97</v>
      </c>
      <c r="L219" s="155" t="n">
        <f aca="false">M219+N219</f>
        <v>12957.82</v>
      </c>
      <c r="M219" s="155" t="n">
        <f aca="false">3347.8+1288.7+5467.77+1841+1012.55</f>
        <v>12957.82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32</v>
      </c>
      <c r="I220" s="160" t="n">
        <v>17</v>
      </c>
      <c r="J220" s="160" t="n">
        <v>26</v>
      </c>
      <c r="K220" s="161" t="n">
        <v>50762.46</v>
      </c>
      <c r="L220" s="161" t="n">
        <f aca="false">M220+N220</f>
        <v>46362.26</v>
      </c>
      <c r="M220" s="161" t="n">
        <v>46362.26</v>
      </c>
      <c r="N220" s="190"/>
      <c r="O220" s="163" t="n">
        <v>12</v>
      </c>
      <c r="P220" s="161" t="n">
        <v>32713.64</v>
      </c>
      <c r="Q220" s="161" t="n">
        <f aca="false">R220+S220</f>
        <v>27613.45</v>
      </c>
      <c r="R220" s="161" t="n">
        <v>27613.45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5593.75</v>
      </c>
      <c r="L221" s="166" t="n">
        <v>5593.75</v>
      </c>
      <c r="M221" s="166" t="n">
        <v>5593.75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13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6995.8+1288.7+5707.1+2945.6</f>
        <v>16937.2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3</v>
      </c>
      <c r="I224" s="148" t="n">
        <v>2</v>
      </c>
      <c r="J224" s="148" t="n">
        <v>2</v>
      </c>
      <c r="K224" s="149" t="n">
        <v>1370.33</v>
      </c>
      <c r="L224" s="149" t="n">
        <f aca="false">M224+N224</f>
        <v>0</v>
      </c>
      <c r="M224" s="149"/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8</v>
      </c>
      <c r="I227" s="154" t="n">
        <v>6</v>
      </c>
      <c r="J227" s="154" t="n">
        <v>6</v>
      </c>
      <c r="K227" s="155" t="n">
        <v>15423.17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28</v>
      </c>
      <c r="I228" s="160" t="n">
        <v>25</v>
      </c>
      <c r="J228" s="160" t="n">
        <v>39</v>
      </c>
      <c r="K228" s="161" t="n">
        <v>60237.7</v>
      </c>
      <c r="L228" s="161" t="n">
        <f aca="false">M228+N228</f>
        <v>45981.11</v>
      </c>
      <c r="M228" s="161" t="n">
        <v>45981.11</v>
      </c>
      <c r="N228" s="190"/>
      <c r="O228" s="163" t="n">
        <v>13</v>
      </c>
      <c r="P228" s="161" t="n">
        <v>75282.64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 t="n">
        <f aca="false">552.3</f>
        <v>552.3</v>
      </c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9</v>
      </c>
      <c r="I230" s="148" t="n">
        <v>7</v>
      </c>
      <c r="J230" s="148" t="n">
        <v>8</v>
      </c>
      <c r="K230" s="149" t="n">
        <v>10552.9</v>
      </c>
      <c r="L230" s="166" t="n">
        <f aca="false">M230+N230</f>
        <v>3851.92</v>
      </c>
      <c r="M230" s="149" t="n">
        <v>3851.92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7</v>
      </c>
      <c r="P232" s="161" t="n">
        <v>45328.43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6</v>
      </c>
      <c r="J233" s="165" t="n">
        <v>6</v>
      </c>
      <c r="K233" s="166" t="n">
        <v>16372.3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11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3171.6+2117.15+552.3</f>
        <v>5841.05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5</v>
      </c>
      <c r="J237" s="165" t="n">
        <v>5</v>
      </c>
      <c r="K237" s="166" t="n">
        <v>12611.85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12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19</v>
      </c>
      <c r="I238" s="148" t="n">
        <v>10</v>
      </c>
      <c r="J238" s="148" t="n">
        <v>11</v>
      </c>
      <c r="K238" s="149" t="n">
        <v>9896.72</v>
      </c>
      <c r="L238" s="149" t="n">
        <f aca="false">M238+N238</f>
        <v>7588.94</v>
      </c>
      <c r="M238" s="149" t="n">
        <v>7588.94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4</v>
      </c>
      <c r="P242" s="149" t="n">
        <v>34331.68</v>
      </c>
      <c r="Q242" s="149" t="n">
        <f aca="false">R242+S242</f>
        <v>15606.38</v>
      </c>
      <c r="R242" s="149" t="n">
        <v>15606.38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5</v>
      </c>
      <c r="J243" s="165" t="n">
        <v>5</v>
      </c>
      <c r="K243" s="166" t="n">
        <v>9225.65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7648.67</v>
      </c>
      <c r="N244" s="224" t="n">
        <v>5365.21</v>
      </c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4</v>
      </c>
      <c r="J245" s="154" t="n">
        <v>4</v>
      </c>
      <c r="K245" s="155" t="n">
        <v>6664.14</v>
      </c>
      <c r="L245" s="155" t="n">
        <v>4166.84</v>
      </c>
      <c r="M245" s="155" t="n">
        <v>4166.84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6</v>
      </c>
      <c r="P246" s="161" t="n">
        <v>21131.92</v>
      </c>
      <c r="Q246" s="161" t="n">
        <f aca="false">R246+S246</f>
        <v>18277.74</v>
      </c>
      <c r="R246" s="161" t="n">
        <v>18277.74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528.6+3700.2+1288.7+3497.9+2393.3+1288.7</f>
        <v>12697.4</v>
      </c>
      <c r="N247" s="167"/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5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2767</v>
      </c>
      <c r="I252" s="214" t="n">
        <f aca="false">SUM(I9:I251)</f>
        <v>1854</v>
      </c>
      <c r="J252" s="214" t="n">
        <f aca="false">SUM(J9:J251)</f>
        <v>2289</v>
      </c>
      <c r="K252" s="215" t="n">
        <f aca="false">SUM(K9:K251)</f>
        <v>4253058.77</v>
      </c>
      <c r="L252" s="215" t="n">
        <f aca="false">SUM(L9:L251)</f>
        <v>2895374.64</v>
      </c>
      <c r="M252" s="215" t="n">
        <f aca="false">SUM(M9:M251)</f>
        <v>2749821.71</v>
      </c>
      <c r="N252" s="243" t="n">
        <f aca="false">SUM(N9:N251)</f>
        <v>150626.76</v>
      </c>
      <c r="O252" s="244" t="n">
        <f aca="false">SUM(O9:O251)</f>
        <v>1276</v>
      </c>
      <c r="P252" s="245" t="n">
        <f aca="false">SUM(P9:P251)</f>
        <v>4857737.32</v>
      </c>
      <c r="Q252" s="245" t="n">
        <f aca="false">SUM(Q9:Q251)</f>
        <v>4291330.91</v>
      </c>
      <c r="R252" s="245" t="n">
        <f aca="false">SUM(R9:R251)</f>
        <v>4178858.74</v>
      </c>
      <c r="S252" s="246" t="n">
        <f aca="false">SUM(S9:S251)</f>
        <v>123426.12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1912</v>
      </c>
      <c r="H258" s="108" t="n">
        <f aca="false">SUMIF($G$9:$G$251,$F$258,I9:I251)</f>
        <v>1419</v>
      </c>
      <c r="I258" s="108" t="n">
        <f aca="false">SUMIF($G$9:$G$251,$F$258,J9:J251)</f>
        <v>1847</v>
      </c>
      <c r="J258" s="110" t="n">
        <f aca="false">SUMIF($G$9:$G$251,F258,$K$9:$K$251)</f>
        <v>3449566.14</v>
      </c>
      <c r="K258" s="110" t="n">
        <f aca="false">SUMIF($G$9:$G$251,$F$258,L9:L251)</f>
        <v>2243652.05</v>
      </c>
      <c r="L258" s="110" t="n">
        <f aca="false">SUMIF($G$9:$G$251,$F$258,M9:M251)</f>
        <v>2098104.62</v>
      </c>
      <c r="M258" s="110" t="n">
        <f aca="false">SUMIF($G$9:$G$251,$F$258,N9:N251)</f>
        <v>150626.76</v>
      </c>
      <c r="N258" s="108" t="n">
        <f aca="false">SUMIF($G$9:$G$251,$F$258,O9:O251)</f>
        <v>850</v>
      </c>
      <c r="O258" s="110" t="n">
        <f aca="false">SUMIF($G$9:$G$251,F258,$P$9:$P$251)</f>
        <v>3718749.54</v>
      </c>
      <c r="P258" s="110" t="n">
        <f aca="false">SUMIF($G$9:$G$251,$F$258,Q9:Q251)</f>
        <v>3153676.82</v>
      </c>
      <c r="Q258" s="110" t="n">
        <f aca="false">SUMIF($G$9:$G$251,$F$258,R9:R251)</f>
        <v>3030250.7</v>
      </c>
      <c r="R258" s="110" t="n">
        <f aca="false">SUMIF($G$9:$G$251,$F$258,S9:S251)</f>
        <v>123426.12</v>
      </c>
      <c r="S258" s="110" t="n">
        <f aca="false">Q258+L258</f>
        <v>5128355.32</v>
      </c>
      <c r="T258" s="111" t="n">
        <f aca="false">J258-L258+O258-Q258</f>
        <v>2039960.36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570</v>
      </c>
      <c r="H259" s="108" t="n">
        <f aca="false">SUMIF($G$9:$G$251,$F$259,I9:I251)</f>
        <v>256</v>
      </c>
      <c r="I259" s="108" t="n">
        <f aca="false">SUMIF($G$9:$G$251,$F$259,J9:J251)</f>
        <v>263</v>
      </c>
      <c r="J259" s="110" t="n">
        <f aca="false">SUMIF($G$9:$G$251,F259,$K$9:$K$251)</f>
        <v>551984.49</v>
      </c>
      <c r="K259" s="110" t="n">
        <f aca="false">SUMIF($G$9:$G$251,$F$259,L9:L251)</f>
        <v>417816.25</v>
      </c>
      <c r="L259" s="110" t="n">
        <f aca="false">SUMIF($G$9:$G$251,$F$259,M9:M251)</f>
        <v>417810.75</v>
      </c>
      <c r="M259" s="110" t="n">
        <f aca="false">SUMIF($G$9:$G$251,$F$259,N9:N251)</f>
        <v>0</v>
      </c>
      <c r="N259" s="108" t="n">
        <f aca="false">SUMIF($G$9:$G$251,$F$259,O9:O251)</f>
        <v>315</v>
      </c>
      <c r="O259" s="110" t="n">
        <f aca="false">SUMIF($G$9:$G$251,F259,$P$9:$P$251)</f>
        <v>895553.58</v>
      </c>
      <c r="P259" s="110" t="n">
        <f aca="false">SUMIF($G$9:$G$251,$F$259,Q9:Q251)</f>
        <v>894219.89</v>
      </c>
      <c r="Q259" s="110" t="n">
        <f aca="false">SUMIF($G$9:$G$251,$F$259,R9:R251)</f>
        <v>905173.84</v>
      </c>
      <c r="R259" s="110" t="n">
        <f aca="false">SUMIF($G$9:$G$251,$F$259,S9:S251)</f>
        <v>0</v>
      </c>
      <c r="S259" s="110" t="n">
        <f aca="false">Q259+L259</f>
        <v>1322984.59</v>
      </c>
      <c r="T259" s="111" t="n">
        <f aca="false">J259-L259+O259-Q259</f>
        <v>124553.48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285</v>
      </c>
      <c r="H260" s="108" t="n">
        <f aca="false">SUMIF($G$9:$G$251,$F$260,I9:I251)</f>
        <v>179</v>
      </c>
      <c r="I260" s="108" t="n">
        <f aca="false">SUMIF($G$9:$G$251,$F$260,J9:J251)</f>
        <v>179</v>
      </c>
      <c r="J260" s="110" t="n">
        <f aca="false">SUMIF($G$9:$G$251,F260,$K$9:$K$251)</f>
        <v>251508.14</v>
      </c>
      <c r="K260" s="110" t="n">
        <f aca="false">SUMIF($G$9:$G$251,$F$260,L9:L251)</f>
        <v>233906.34</v>
      </c>
      <c r="L260" s="110" t="n">
        <f aca="false">SUMIF($G$9:$G$251,$F$260,M9:M251)</f>
        <v>233906.34</v>
      </c>
      <c r="M260" s="110" t="n">
        <f aca="false">SUMIF($G$9:$G$251,$F$260,N9:N251)</f>
        <v>0</v>
      </c>
      <c r="N260" s="108" t="n">
        <f aca="false">SUMIF($G$9:$G$251,$F$260,O9:O251)</f>
        <v>111</v>
      </c>
      <c r="O260" s="110" t="n">
        <f aca="false">SUMIF($G$9:$G$251,F260,$P$9:$P$251)</f>
        <v>243434.2</v>
      </c>
      <c r="P260" s="110" t="n">
        <f aca="false">SUMIF($G$9:$G$251,$F$260,Q9:Q251)</f>
        <v>243434.2</v>
      </c>
      <c r="Q260" s="110" t="n">
        <f aca="false">SUMIF($G$9:$G$251,$F$260,R9:R251)</f>
        <v>243434.2</v>
      </c>
      <c r="R260" s="110" t="n">
        <f aca="false">SUMIF($G$9:$G$251,$F$260,S9:S251)</f>
        <v>0</v>
      </c>
      <c r="S260" s="110" t="n">
        <f aca="false">Q260+L260</f>
        <v>477340.54</v>
      </c>
      <c r="T260" s="111" t="n">
        <f aca="false">J260-L260+O260-Q260</f>
        <v>17601.8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2767</v>
      </c>
      <c r="H261" s="216" t="n">
        <f aca="false">H260+H259+H258</f>
        <v>1854</v>
      </c>
      <c r="I261" s="216" t="n">
        <f aca="false">I260+I259+I258</f>
        <v>2289</v>
      </c>
      <c r="J261" s="217" t="n">
        <f aca="false">J260+J259+J258</f>
        <v>4253058.77</v>
      </c>
      <c r="K261" s="217" t="n">
        <f aca="false">K260+K259+K258</f>
        <v>2895374.64</v>
      </c>
      <c r="L261" s="217" t="n">
        <f aca="false">L260+L259+L258</f>
        <v>2749821.71</v>
      </c>
      <c r="M261" s="217" t="n">
        <f aca="false">M260+M259+M258</f>
        <v>150626.76</v>
      </c>
      <c r="N261" s="216" t="n">
        <f aca="false">N260+N259+N258</f>
        <v>1276</v>
      </c>
      <c r="O261" s="217" t="n">
        <f aca="false">O260+O259+O258</f>
        <v>4857737.32</v>
      </c>
      <c r="P261" s="217" t="n">
        <f aca="false">P260+P259+P258</f>
        <v>4291330.91</v>
      </c>
      <c r="Q261" s="217" t="n">
        <f aca="false">Q260+Q259+Q258</f>
        <v>4178858.74</v>
      </c>
      <c r="R261" s="217" t="n">
        <f aca="false">R260+R259+R258</f>
        <v>123426.12</v>
      </c>
      <c r="S261" s="217" t="n">
        <f aca="false">S260+S259+S258</f>
        <v>6928680.45</v>
      </c>
      <c r="T261" s="217" t="n">
        <f aca="false">T260+T259+T258</f>
        <v>2182115.64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1884</v>
      </c>
      <c r="H322" s="247" t="n">
        <v>1397</v>
      </c>
      <c r="I322" s="247" t="n">
        <v>1809</v>
      </c>
      <c r="J322" s="0" t="n">
        <v>3363745.75</v>
      </c>
      <c r="K322" s="236"/>
      <c r="N322" s="0" t="n">
        <v>847</v>
      </c>
      <c r="O322" s="0" t="n">
        <v>3711813.93</v>
      </c>
    </row>
    <row r="323" customFormat="false" ht="15" hidden="false" customHeight="false" outlineLevel="0" collapsed="false">
      <c r="G323" s="221" t="n">
        <f aca="false">G258-G322</f>
        <v>28</v>
      </c>
      <c r="H323" s="221" t="n">
        <f aca="false">H258-H322</f>
        <v>22</v>
      </c>
      <c r="I323" s="221" t="n">
        <f aca="false">I258-I322</f>
        <v>38</v>
      </c>
      <c r="J323" s="229" t="n">
        <f aca="false">J258-J322</f>
        <v>85820.3900000001</v>
      </c>
      <c r="K323" s="236"/>
      <c r="N323" s="221" t="n">
        <f aca="false">N258-N322</f>
        <v>3</v>
      </c>
      <c r="O323" s="229" t="n">
        <f aca="false">O258-O322</f>
        <v>6935.61000000034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12</v>
      </c>
      <c r="I9" s="148" t="n">
        <v>1</v>
      </c>
      <c r="J9" s="148" t="n">
        <v>1</v>
      </c>
      <c r="K9" s="149" t="n">
        <v>965.3</v>
      </c>
      <c r="L9" s="149" t="n">
        <f aca="false">M9+N9</f>
        <v>965.3</v>
      </c>
      <c r="M9" s="149" t="n">
        <v>965.3</v>
      </c>
      <c r="N9" s="198"/>
      <c r="O9" s="206" t="n">
        <v>16</v>
      </c>
      <c r="P9" s="149" t="n">
        <v>50606.02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 t="n">
        <v>2</v>
      </c>
      <c r="J10" s="154" t="n">
        <v>2</v>
      </c>
      <c r="K10" s="155" t="n">
        <v>2209.2</v>
      </c>
      <c r="L10" s="149" t="n">
        <f aca="false">M10+N10</f>
        <v>2209.2</v>
      </c>
      <c r="M10" s="155" t="n">
        <v>2209.2</v>
      </c>
      <c r="N10" s="156"/>
      <c r="O10" s="238" t="n">
        <v>1</v>
      </c>
      <c r="P10" s="166" t="n">
        <v>776.7</v>
      </c>
      <c r="Q10" s="166" t="n"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30</v>
      </c>
      <c r="I11" s="160" t="n">
        <v>22</v>
      </c>
      <c r="J11" s="160" t="n">
        <v>37</v>
      </c>
      <c r="K11" s="161" t="n">
        <v>86233.66</v>
      </c>
      <c r="L11" s="149" t="n">
        <f aca="false">M11+N11</f>
        <v>86233.66</v>
      </c>
      <c r="M11" s="161" t="n">
        <v>86233.66</v>
      </c>
      <c r="N11" s="239"/>
      <c r="O11" s="151" t="n">
        <v>13</v>
      </c>
      <c r="P11" s="149" t="n">
        <v>83076.37</v>
      </c>
      <c r="Q11" s="149" t="n">
        <f aca="false">R11+S11</f>
        <v>44687.32</v>
      </c>
      <c r="R11" s="149" t="n">
        <v>44687.32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2945.6</v>
      </c>
      <c r="M12" s="166" t="n">
        <f aca="false">1841+1104.6</f>
        <v>2945.6</v>
      </c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39</v>
      </c>
      <c r="I13" s="148" t="n">
        <v>35</v>
      </c>
      <c r="J13" s="148" t="n">
        <v>54</v>
      </c>
      <c r="K13" s="149" t="n">
        <v>89444.81</v>
      </c>
      <c r="L13" s="149" t="n">
        <f aca="false">M13+N13</f>
        <v>81681.28</v>
      </c>
      <c r="M13" s="149" t="n">
        <v>81681.28</v>
      </c>
      <c r="N13" s="249"/>
      <c r="O13" s="228" t="n">
        <v>8</v>
      </c>
      <c r="P13" s="161" t="n">
        <v>31855.11</v>
      </c>
      <c r="Q13" s="161" t="n">
        <f aca="false">R13+S13</f>
        <v>31855.11</v>
      </c>
      <c r="R13" s="161" t="n">
        <v>31855.11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17466.75</v>
      </c>
      <c r="M14" s="155" t="n">
        <f aca="false">1938.2+5638.4+4017.36+1822.59+4050.2</f>
        <v>17466.75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10353.9</v>
      </c>
      <c r="R15" s="149" t="n">
        <v>10353.9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4</v>
      </c>
      <c r="J16" s="165" t="n">
        <v>4</v>
      </c>
      <c r="K16" s="166" t="n">
        <v>9191.6</v>
      </c>
      <c r="L16" s="166" t="n">
        <f aca="false">M16+N16</f>
        <v>7350.6</v>
      </c>
      <c r="M16" s="166" t="n">
        <f aca="false">4405+2945.6</f>
        <v>7350.6</v>
      </c>
      <c r="N16" s="167"/>
      <c r="O16" s="168" t="n">
        <v>6</v>
      </c>
      <c r="P16" s="166" t="n">
        <v>32299.9</v>
      </c>
      <c r="Q16" s="166" t="n">
        <f aca="false">R16+S16</f>
        <v>25827.9</v>
      </c>
      <c r="R16" s="166" t="n">
        <f aca="false">23434.6+2393.3</f>
        <v>25827.9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24</v>
      </c>
      <c r="I19" s="160" t="n">
        <v>7</v>
      </c>
      <c r="J19" s="160" t="n">
        <v>8</v>
      </c>
      <c r="K19" s="161" t="n">
        <v>10917.95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8</v>
      </c>
      <c r="J20" s="154" t="n">
        <v>8</v>
      </c>
      <c r="K20" s="155" t="n">
        <v>6300</v>
      </c>
      <c r="L20" s="155" t="n">
        <f aca="false">M20+N20</f>
        <v>6300</v>
      </c>
      <c r="M20" s="155" t="n">
        <f aca="false">2986.2+1656.9+1104.6+552.3</f>
        <v>6300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25</v>
      </c>
      <c r="I21" s="160" t="n">
        <v>20</v>
      </c>
      <c r="J21" s="160" t="n">
        <v>27</v>
      </c>
      <c r="K21" s="161" t="n">
        <v>35008.32</v>
      </c>
      <c r="L21" s="161" t="n">
        <f aca="false">M21+N21</f>
        <v>33962.34</v>
      </c>
      <c r="M21" s="161" t="n">
        <v>33962.34</v>
      </c>
      <c r="N21" s="190"/>
      <c r="O21" s="163" t="n">
        <v>20</v>
      </c>
      <c r="P21" s="161" t="n">
        <v>51655.43</v>
      </c>
      <c r="Q21" s="161" t="n">
        <f aca="false">R21+S21</f>
        <v>51655.43</v>
      </c>
      <c r="R21" s="161" t="n">
        <v>51655.43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5</v>
      </c>
      <c r="P22" s="155" t="n">
        <v>6998.2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35</v>
      </c>
      <c r="I23" s="160" t="n">
        <v>27</v>
      </c>
      <c r="J23" s="160" t="n">
        <v>43</v>
      </c>
      <c r="K23" s="161" t="n">
        <v>61298.69</v>
      </c>
      <c r="L23" s="161" t="n">
        <f aca="false">M23+N23</f>
        <v>56731.45</v>
      </c>
      <c r="M23" s="161" t="n">
        <v>56731.45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30</v>
      </c>
      <c r="I25" s="148" t="n">
        <v>23</v>
      </c>
      <c r="J25" s="148" t="n">
        <v>24</v>
      </c>
      <c r="K25" s="148" t="n">
        <v>12047.05</v>
      </c>
      <c r="L25" s="149" t="n">
        <f aca="false">M25+N25</f>
        <v>10067.33</v>
      </c>
      <c r="M25" s="149" t="n">
        <v>10067.33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29</v>
      </c>
      <c r="I27" s="160" t="n">
        <v>28</v>
      </c>
      <c r="J27" s="160" t="n">
        <v>45</v>
      </c>
      <c r="K27" s="161" t="n">
        <v>95686.57</v>
      </c>
      <c r="L27" s="161" t="n">
        <f aca="false">M27+N27</f>
        <v>91809.04</v>
      </c>
      <c r="M27" s="161" t="n">
        <v>91809.04</v>
      </c>
      <c r="N27" s="190"/>
      <c r="O27" s="151" t="n">
        <v>9</v>
      </c>
      <c r="P27" s="149" t="n">
        <v>30370.2</v>
      </c>
      <c r="Q27" s="149" t="n">
        <f aca="false">R27+S27</f>
        <v>28995.84</v>
      </c>
      <c r="R27" s="149" t="n">
        <v>28995.84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9</v>
      </c>
      <c r="I28" s="165" t="n">
        <v>8</v>
      </c>
      <c r="J28" s="165" t="n">
        <v>8</v>
      </c>
      <c r="K28" s="166" t="n">
        <v>7041.05</v>
      </c>
      <c r="L28" s="166" t="n">
        <f aca="false">M28+N28</f>
        <v>5888.45</v>
      </c>
      <c r="M28" s="166" t="n">
        <f aca="false">3126.95+2209.2+552.3</f>
        <v>5888.45</v>
      </c>
      <c r="N28" s="156"/>
      <c r="O28" s="157" t="n">
        <v>16</v>
      </c>
      <c r="P28" s="155" t="n">
        <v>39660.1</v>
      </c>
      <c r="Q28" s="155" t="n">
        <v>35550.2</v>
      </c>
      <c r="R28" s="155" t="n">
        <f aca="false">37943.5+552.3+276.15</f>
        <v>38771.95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4</v>
      </c>
      <c r="P29" s="149" t="n">
        <v>14655.02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7</v>
      </c>
      <c r="I30" s="165" t="n">
        <v>2</v>
      </c>
      <c r="J30" s="165" t="n">
        <v>2</v>
      </c>
      <c r="K30" s="166" t="n">
        <v>18605.8</v>
      </c>
      <c r="L30" s="166" t="n">
        <f aca="false">M30+N30</f>
        <v>6695.6</v>
      </c>
      <c r="M30" s="166" t="n">
        <f aca="false">4052.6+2643</f>
        <v>6695.6</v>
      </c>
      <c r="N30" s="167"/>
      <c r="O30" s="168" t="n">
        <v>17</v>
      </c>
      <c r="P30" s="166" t="n">
        <v>80694.5</v>
      </c>
      <c r="Q30" s="166" t="n">
        <f aca="false">R30+S30</f>
        <v>46595.9</v>
      </c>
      <c r="R30" s="166" t="n">
        <f aca="false">44754.9+1841</f>
        <v>46595.9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13</v>
      </c>
      <c r="I33" s="160" t="n">
        <v>5</v>
      </c>
      <c r="J33" s="160" t="n">
        <v>7</v>
      </c>
      <c r="K33" s="161" t="n">
        <v>15091.78</v>
      </c>
      <c r="L33" s="161" t="n">
        <f aca="false">M33+N33</f>
        <v>13109.76</v>
      </c>
      <c r="M33" s="161" t="n">
        <v>13109.76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5</v>
      </c>
      <c r="J34" s="165" t="n">
        <v>5</v>
      </c>
      <c r="K34" s="166" t="n">
        <v>13175.94</v>
      </c>
      <c r="L34" s="166" t="n">
        <v>13175.94</v>
      </c>
      <c r="M34" s="166" t="n">
        <v>13175.94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5</v>
      </c>
      <c r="I35" s="148" t="n">
        <v>4</v>
      </c>
      <c r="J35" s="148" t="n">
        <v>4</v>
      </c>
      <c r="K35" s="149" t="n">
        <v>5239.19</v>
      </c>
      <c r="L35" s="149" t="n">
        <f aca="false">M35+N35</f>
        <v>2549.79</v>
      </c>
      <c r="M35" s="149" t="n">
        <v>2549.79</v>
      </c>
      <c r="N35" s="150"/>
      <c r="O35" s="206"/>
      <c r="P35" s="149"/>
      <c r="Q35" s="149" t="n"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17</v>
      </c>
      <c r="J37" s="160" t="n">
        <v>18</v>
      </c>
      <c r="K37" s="161" t="n">
        <v>29471.25</v>
      </c>
      <c r="L37" s="161" t="n">
        <f aca="false">M37+N37</f>
        <v>25823.31</v>
      </c>
      <c r="M37" s="161" t="n">
        <v>25823.31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47695.55</v>
      </c>
      <c r="M41" s="161" t="n">
        <v>47695.55</v>
      </c>
      <c r="N41" s="190"/>
      <c r="O41" s="151" t="n">
        <v>19</v>
      </c>
      <c r="P41" s="149" t="n">
        <v>136760.68</v>
      </c>
      <c r="Q41" s="149" t="n">
        <f aca="false">R41+S41</f>
        <v>133840.43</v>
      </c>
      <c r="R41" s="149" t="n">
        <v>133840.43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28</v>
      </c>
      <c r="I43" s="160" t="n">
        <v>24</v>
      </c>
      <c r="J43" s="160" t="n">
        <v>31</v>
      </c>
      <c r="K43" s="161" t="n">
        <v>57240.1</v>
      </c>
      <c r="L43" s="161" t="n">
        <f aca="false">M43+N43</f>
        <v>52986.66</v>
      </c>
      <c r="M43" s="161" t="n">
        <v>52986.66</v>
      </c>
      <c r="N43" s="190"/>
      <c r="O43" s="151" t="n">
        <v>16</v>
      </c>
      <c r="P43" s="149" t="n">
        <v>56737.45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38763.49</v>
      </c>
      <c r="R46" s="166" t="n">
        <f aca="false">19654.4+16319.08+212.61+2577.4</f>
        <v>38763.49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6</v>
      </c>
      <c r="I47" s="148" t="n">
        <v>2</v>
      </c>
      <c r="J47" s="148" t="n">
        <v>2</v>
      </c>
      <c r="K47" s="149" t="n">
        <v>6630.21</v>
      </c>
      <c r="L47" s="149" t="n">
        <f aca="false">M47+N47</f>
        <v>6630.21</v>
      </c>
      <c r="M47" s="149" t="n">
        <v>6630.21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13</v>
      </c>
      <c r="I48" s="154" t="n">
        <v>8</v>
      </c>
      <c r="J48" s="154" t="n">
        <v>8</v>
      </c>
      <c r="K48" s="155" t="n">
        <v>19311.05</v>
      </c>
      <c r="L48" s="155" t="n">
        <f aca="false">M48+N48</f>
        <v>11721.05</v>
      </c>
      <c r="M48" s="155" t="n">
        <f aca="false">5885.08+1104.6+3313.8+1417.57</f>
        <v>11721.05</v>
      </c>
      <c r="N48" s="156"/>
      <c r="O48" s="157" t="n">
        <v>9</v>
      </c>
      <c r="P48" s="155" t="n">
        <v>18952.33</v>
      </c>
      <c r="Q48" s="155" t="n">
        <f aca="false">R48+S48</f>
        <v>23738.93</v>
      </c>
      <c r="R48" s="155" t="n">
        <f aca="false">16697.1+966.53+1288.7+2945.6+1841</f>
        <v>23738.93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5</v>
      </c>
      <c r="J51" s="160" t="n">
        <v>9</v>
      </c>
      <c r="K51" s="161" t="n">
        <v>12825.23</v>
      </c>
      <c r="L51" s="161" t="n">
        <f aca="false">M51+N51</f>
        <v>12825.23</v>
      </c>
      <c r="M51" s="161" t="n">
        <v>12825.23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63</v>
      </c>
      <c r="I53" s="148" t="n">
        <v>58</v>
      </c>
      <c r="J53" s="148" t="n">
        <v>61</v>
      </c>
      <c r="K53" s="149" t="n">
        <v>89608.71</v>
      </c>
      <c r="L53" s="149" t="n">
        <f aca="false">M53+N53</f>
        <v>87003.69</v>
      </c>
      <c r="M53" s="149" t="n">
        <v>87003.69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44</v>
      </c>
      <c r="I55" s="160" t="n">
        <v>38</v>
      </c>
      <c r="J55" s="160" t="n">
        <v>54</v>
      </c>
      <c r="K55" s="161" t="n">
        <v>95558.54</v>
      </c>
      <c r="L55" s="161" t="n">
        <f aca="false">M55+N55</f>
        <v>74435.85</v>
      </c>
      <c r="M55" s="161" t="n">
        <v>74435.85</v>
      </c>
      <c r="N55" s="190"/>
      <c r="O55" s="151" t="n">
        <v>22</v>
      </c>
      <c r="P55" s="149" t="n">
        <v>82722.68</v>
      </c>
      <c r="Q55" s="149" t="n">
        <f aca="false">R55+S55</f>
        <v>81841.68</v>
      </c>
      <c r="R55" s="149" t="n">
        <v>81841.68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14</v>
      </c>
      <c r="I57" s="160" t="n">
        <v>10</v>
      </c>
      <c r="J57" s="160" t="n">
        <v>13</v>
      </c>
      <c r="K57" s="161" t="n">
        <v>31948.58</v>
      </c>
      <c r="L57" s="161" t="n">
        <f aca="false">M57+N57</f>
        <v>29341.08</v>
      </c>
      <c r="M57" s="161" t="n">
        <v>29341.08</v>
      </c>
      <c r="N57" s="190"/>
      <c r="O57" s="163" t="n">
        <v>4</v>
      </c>
      <c r="P57" s="161" t="n">
        <v>20218.72</v>
      </c>
      <c r="Q57" s="161" t="n">
        <f aca="false">R57+S57</f>
        <v>20218.72</v>
      </c>
      <c r="R57" s="161" t="n">
        <v>20218.72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8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10611.99</v>
      </c>
      <c r="M58" s="166" t="n">
        <f aca="false">1057.2+7732.2+1822.59</f>
        <v>10611.99</v>
      </c>
      <c r="N58" s="167"/>
      <c r="O58" s="168" t="n">
        <v>11</v>
      </c>
      <c r="P58" s="166" t="n">
        <v>33429.49</v>
      </c>
      <c r="Q58" s="189" t="n">
        <v>25697.29</v>
      </c>
      <c r="R58" s="166" t="n">
        <f aca="false">18120.69+12915.5-4928.17+4928.17+2393.3</f>
        <v>33429.49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10</v>
      </c>
      <c r="I59" s="148" t="n">
        <v>10</v>
      </c>
      <c r="J59" s="148" t="n">
        <v>17</v>
      </c>
      <c r="K59" s="149" t="n">
        <v>41033.31</v>
      </c>
      <c r="L59" s="149" t="n">
        <f aca="false">M59+N59</f>
        <v>27453.29</v>
      </c>
      <c r="M59" s="149" t="n">
        <v>27453.29</v>
      </c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18</v>
      </c>
      <c r="I61" s="160" t="n">
        <v>1</v>
      </c>
      <c r="J61" s="160" t="n">
        <v>1</v>
      </c>
      <c r="K61" s="161" t="n">
        <v>384.2</v>
      </c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8468.6</v>
      </c>
      <c r="M62" s="166" t="n">
        <f aca="false">5523+1104.6+1288.7+552.3</f>
        <v>8468.6</v>
      </c>
      <c r="N62" s="156"/>
      <c r="O62" s="168" t="n">
        <v>10</v>
      </c>
      <c r="P62" s="166" t="n">
        <v>4249</v>
      </c>
      <c r="Q62" s="166" t="n">
        <f aca="false">R62+S62</f>
        <v>15663.2</v>
      </c>
      <c r="R62" s="166" t="n">
        <f aca="false">4249+11414.2</f>
        <v>15663.2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13</v>
      </c>
      <c r="I63" s="148" t="n">
        <v>8</v>
      </c>
      <c r="J63" s="148" t="n">
        <v>8</v>
      </c>
      <c r="K63" s="149" t="n">
        <v>4296.12</v>
      </c>
      <c r="L63" s="149" t="n">
        <f aca="false">M63+N63</f>
        <v>4296.12</v>
      </c>
      <c r="M63" s="149" t="n">
        <v>4296.12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10</v>
      </c>
      <c r="I64" s="154" t="n">
        <v>5</v>
      </c>
      <c r="J64" s="154" t="n">
        <v>5</v>
      </c>
      <c r="K64" s="155" t="n">
        <v>7403.15</v>
      </c>
      <c r="L64" s="155" t="n">
        <f aca="false">M64+N64</f>
        <v>7403.15</v>
      </c>
      <c r="M64" s="155" t="n">
        <f aca="false">5286+1564.85+552.3</f>
        <v>7403.15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38767.8</v>
      </c>
      <c r="M65" s="161" t="n">
        <v>38767.8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10</v>
      </c>
      <c r="J67" s="148" t="n">
        <v>14</v>
      </c>
      <c r="K67" s="149" t="n">
        <v>29586.57</v>
      </c>
      <c r="L67" s="149" t="n">
        <f aca="false">M67+N67</f>
        <v>29586.57</v>
      </c>
      <c r="M67" s="149" t="n">
        <v>29586.57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12</v>
      </c>
      <c r="I68" s="154" t="n">
        <v>6</v>
      </c>
      <c r="J68" s="154" t="n">
        <v>6</v>
      </c>
      <c r="K68" s="155" t="n">
        <v>5212.5</v>
      </c>
      <c r="L68" s="155" t="n">
        <v>5212.5</v>
      </c>
      <c r="M68" s="155" t="n">
        <v>5212.5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18</v>
      </c>
      <c r="I69" s="160" t="n">
        <v>12</v>
      </c>
      <c r="J69" s="160" t="n">
        <v>19</v>
      </c>
      <c r="K69" s="161" t="n">
        <v>31651</v>
      </c>
      <c r="L69" s="161" t="n">
        <f aca="false">M69+N69</f>
        <v>31651</v>
      </c>
      <c r="M69" s="161" t="n">
        <v>31651</v>
      </c>
      <c r="N69" s="190"/>
      <c r="O69" s="163" t="n">
        <v>12</v>
      </c>
      <c r="P69" s="161" t="n">
        <v>66383.26</v>
      </c>
      <c r="Q69" s="161" t="n">
        <f aca="false">R69+S69</f>
        <v>66383.26</v>
      </c>
      <c r="R69" s="161" t="n">
        <v>66383.26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35</v>
      </c>
      <c r="I71" s="148" t="n">
        <v>26</v>
      </c>
      <c r="J71" s="148" t="n">
        <v>36</v>
      </c>
      <c r="K71" s="149" t="n">
        <v>75198.12</v>
      </c>
      <c r="L71" s="149" t="n">
        <f aca="false">M71+N71</f>
        <v>64830.78</v>
      </c>
      <c r="M71" s="149" t="n">
        <v>64830.78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44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113554.28</v>
      </c>
      <c r="M73" s="161" t="n">
        <v>113554.28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 t="n">
        <v>2</v>
      </c>
      <c r="I75" s="148" t="n">
        <v>1</v>
      </c>
      <c r="J75" s="148" t="n">
        <v>1</v>
      </c>
      <c r="K75" s="149" t="n">
        <v>1690.48</v>
      </c>
      <c r="L75" s="149" t="n">
        <f aca="false">M75+N75</f>
        <v>1690.48</v>
      </c>
      <c r="M75" s="149" t="n">
        <v>1690.48</v>
      </c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7</v>
      </c>
      <c r="I76" s="154" t="n">
        <v>2</v>
      </c>
      <c r="J76" s="154" t="n">
        <v>2</v>
      </c>
      <c r="K76" s="155" t="n">
        <v>5707.1</v>
      </c>
      <c r="L76" s="155" t="n">
        <f aca="false">M76+N76</f>
        <v>5707.1</v>
      </c>
      <c r="M76" s="155" t="n">
        <f aca="false">2577.4+3129.7</f>
        <v>5707.1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6</v>
      </c>
      <c r="J79" s="148" t="n">
        <v>6</v>
      </c>
      <c r="K79" s="149" t="n">
        <v>6511.48</v>
      </c>
      <c r="L79" s="149" t="n">
        <f aca="false">M79+N79</f>
        <v>6511.48</v>
      </c>
      <c r="M79" s="149" t="n">
        <v>6511.48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21</v>
      </c>
      <c r="I81" s="148" t="n">
        <v>13</v>
      </c>
      <c r="J81" s="148" t="n">
        <v>13</v>
      </c>
      <c r="K81" s="149" t="n">
        <v>50766.09</v>
      </c>
      <c r="L81" s="149" t="n">
        <f aca="false">M81+N81</f>
        <v>45671.29</v>
      </c>
      <c r="M81" s="149" t="n">
        <v>45671.29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28</v>
      </c>
      <c r="I82" s="154" t="n">
        <v>17</v>
      </c>
      <c r="J82" s="154" t="n">
        <v>17</v>
      </c>
      <c r="K82" s="155" t="n">
        <v>27906.07</v>
      </c>
      <c r="L82" s="155" t="n">
        <v>27906.07</v>
      </c>
      <c r="M82" s="155" t="n">
        <v>27906.07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7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5</v>
      </c>
      <c r="P83" s="161" t="n">
        <v>56206.73</v>
      </c>
      <c r="Q83" s="161" t="n">
        <f aca="false">R83+S83</f>
        <v>52156.53</v>
      </c>
      <c r="R83" s="161" t="n">
        <v>52156.53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6037</v>
      </c>
      <c r="R84" s="166" t="n">
        <f aca="false">2907.3+1841+1288.7</f>
        <v>6037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5</v>
      </c>
      <c r="J85" s="148" t="n">
        <v>6</v>
      </c>
      <c r="K85" s="149" t="n">
        <v>8371.38</v>
      </c>
      <c r="L85" s="149" t="n">
        <f aca="false">M85+N85</f>
        <v>6604.02</v>
      </c>
      <c r="M85" s="149" t="n">
        <v>6604.02</v>
      </c>
      <c r="N85" s="190"/>
      <c r="O85" s="151" t="n">
        <v>12</v>
      </c>
      <c r="P85" s="149" t="n">
        <v>42053.1</v>
      </c>
      <c r="Q85" s="149" t="n">
        <f aca="false">R85+S85</f>
        <v>31183.27</v>
      </c>
      <c r="R85" s="149" t="n">
        <v>31183.27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1841+1656.9</f>
        <v>3497.9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2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18</v>
      </c>
      <c r="I89" s="148" t="n">
        <v>10</v>
      </c>
      <c r="J89" s="148" t="n">
        <v>13</v>
      </c>
      <c r="K89" s="149" t="n">
        <v>24006.42</v>
      </c>
      <c r="L89" s="149" t="n">
        <f aca="false">M89+N89</f>
        <v>13028.25</v>
      </c>
      <c r="M89" s="149" t="n">
        <v>13028.25</v>
      </c>
      <c r="N89" s="190"/>
      <c r="O89" s="151" t="n">
        <v>15</v>
      </c>
      <c r="P89" s="149" t="n">
        <v>54237.55</v>
      </c>
      <c r="Q89" s="149" t="n">
        <f aca="false">R89+S89</f>
        <v>54237.55</v>
      </c>
      <c r="R89" s="149" t="n">
        <v>54237.55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41</v>
      </c>
      <c r="I90" s="165" t="n">
        <v>42</v>
      </c>
      <c r="J90" s="165" t="n">
        <v>42</v>
      </c>
      <c r="K90" s="166" t="n">
        <v>47937.55</v>
      </c>
      <c r="L90" s="166" t="n">
        <v>46304.7</v>
      </c>
      <c r="M90" s="166" t="n">
        <v>46304.7</v>
      </c>
      <c r="N90" s="156"/>
      <c r="O90" s="168" t="n">
        <v>41</v>
      </c>
      <c r="P90" s="166" t="n">
        <v>93370.07</v>
      </c>
      <c r="Q90" s="166" t="n">
        <v>93370.07</v>
      </c>
      <c r="R90" s="166" t="n">
        <v>93370.07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12</v>
      </c>
      <c r="I91" s="148" t="n">
        <v>8</v>
      </c>
      <c r="J91" s="148" t="n">
        <v>10</v>
      </c>
      <c r="K91" s="149" t="n">
        <v>14299.39</v>
      </c>
      <c r="L91" s="149" t="n">
        <f aca="false">M91+N91</f>
        <v>14299.39</v>
      </c>
      <c r="M91" s="149" t="n">
        <v>14299.39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12</v>
      </c>
      <c r="I92" s="165" t="n">
        <v>7</v>
      </c>
      <c r="J92" s="165" t="n">
        <v>7</v>
      </c>
      <c r="K92" s="166" t="n">
        <v>12363.15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12</v>
      </c>
      <c r="J93" s="148" t="n">
        <v>16</v>
      </c>
      <c r="K93" s="149" t="n">
        <v>34174.37</v>
      </c>
      <c r="L93" s="149" t="n">
        <f aca="false">M93+N93</f>
        <v>28957.76</v>
      </c>
      <c r="M93" s="149" t="n">
        <v>28957.76</v>
      </c>
      <c r="N93" s="190"/>
      <c r="O93" s="151" t="n">
        <v>17</v>
      </c>
      <c r="P93" s="149" t="n">
        <v>56917.37</v>
      </c>
      <c r="Q93" s="149" t="n">
        <f aca="false">R93+S93</f>
        <v>56917.37</v>
      </c>
      <c r="R93" s="149" t="n">
        <v>56917.37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11</v>
      </c>
      <c r="I94" s="154" t="n">
        <v>6</v>
      </c>
      <c r="J94" s="154" t="n">
        <v>6</v>
      </c>
      <c r="K94" s="235" t="n">
        <v>9868.22</v>
      </c>
      <c r="L94" s="155" t="n">
        <f aca="false">M94+N94</f>
        <v>8812</v>
      </c>
      <c r="M94" s="155" t="n">
        <f aca="false">2819.2+3277.32+2209.2+506.28</f>
        <v>8812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4</v>
      </c>
      <c r="P95" s="161" t="n">
        <v>28603.33</v>
      </c>
      <c r="Q95" s="161" t="n">
        <f aca="false">R95+S95</f>
        <v>12680.22</v>
      </c>
      <c r="R95" s="161" t="n">
        <v>12680.22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11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15</v>
      </c>
      <c r="I97" s="160" t="n">
        <v>12</v>
      </c>
      <c r="J97" s="160" t="n">
        <v>18</v>
      </c>
      <c r="K97" s="161" t="n">
        <v>28349.16</v>
      </c>
      <c r="L97" s="161" t="n">
        <f aca="false">M97+N97</f>
        <v>26173.65</v>
      </c>
      <c r="M97" s="161" t="n">
        <v>26173.65</v>
      </c>
      <c r="N97" s="190"/>
      <c r="O97" s="163" t="n">
        <v>9</v>
      </c>
      <c r="P97" s="161" t="n">
        <v>62858.94</v>
      </c>
      <c r="Q97" s="161" t="n">
        <f aca="false">R97+S97</f>
        <v>62858.94</v>
      </c>
      <c r="R97" s="161" t="n">
        <v>62858.94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9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10</v>
      </c>
      <c r="I99" s="148" t="n">
        <v>6</v>
      </c>
      <c r="J99" s="148" t="n">
        <v>7</v>
      </c>
      <c r="K99" s="149" t="n">
        <v>13665.68</v>
      </c>
      <c r="L99" s="149" t="n">
        <f aca="false">M99+N99</f>
        <v>13665.68</v>
      </c>
      <c r="M99" s="149" t="n">
        <v>13665.68</v>
      </c>
      <c r="N99" s="190"/>
      <c r="O99" s="151" t="n">
        <v>4</v>
      </c>
      <c r="P99" s="149" t="n">
        <v>12683.33</v>
      </c>
      <c r="Q99" s="149" t="n">
        <f aca="false">R99+S99</f>
        <v>12683.33</v>
      </c>
      <c r="R99" s="149" t="n">
        <v>12683.33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8</v>
      </c>
      <c r="I100" s="154" t="n">
        <v>4</v>
      </c>
      <c r="J100" s="154" t="n">
        <v>4</v>
      </c>
      <c r="K100" s="155" t="n">
        <v>14343.3</v>
      </c>
      <c r="L100" s="155" t="n">
        <f aca="false">M100+N100</f>
        <v>12581.3</v>
      </c>
      <c r="M100" s="155" t="n">
        <f aca="false">10924.4+1656.9</f>
        <v>12581.3</v>
      </c>
      <c r="N100" s="156"/>
      <c r="O100" s="157" t="n">
        <v>5</v>
      </c>
      <c r="P100" s="155" t="n">
        <v>14649.4</v>
      </c>
      <c r="Q100" s="155" t="n">
        <f aca="false">R100+S100</f>
        <v>9494.2</v>
      </c>
      <c r="R100" s="155" t="n">
        <f aca="false">1762+7732.2</f>
        <v>9494.2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39</v>
      </c>
      <c r="I101" s="160" t="n">
        <v>33</v>
      </c>
      <c r="J101" s="160" t="n">
        <v>37</v>
      </c>
      <c r="K101" s="161" t="n">
        <v>73327.75</v>
      </c>
      <c r="L101" s="161" t="n">
        <f aca="false">M101+N101</f>
        <v>65192.31</v>
      </c>
      <c r="M101" s="161" t="n">
        <v>65192.31</v>
      </c>
      <c r="N101" s="190"/>
      <c r="O101" s="163" t="n">
        <v>28</v>
      </c>
      <c r="P101" s="161" t="n">
        <v>162655.25</v>
      </c>
      <c r="Q101" s="161" t="n">
        <f aca="false">R101+S101</f>
        <v>162126.65</v>
      </c>
      <c r="R101" s="161" t="n">
        <v>162126.65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30217.9</v>
      </c>
      <c r="R102" s="166" t="n">
        <f aca="false">21936.9+1233.4+5758.9+1288.7</f>
        <v>30217.9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27</v>
      </c>
      <c r="I103" s="148" t="n">
        <v>21</v>
      </c>
      <c r="J103" s="148" t="n">
        <v>22</v>
      </c>
      <c r="K103" s="149" t="n">
        <v>27583.66</v>
      </c>
      <c r="L103" s="149" t="n">
        <f aca="false">M103+N103</f>
        <v>22943.47</v>
      </c>
      <c r="M103" s="149" t="n">
        <v>22943.47</v>
      </c>
      <c r="N103" s="190"/>
      <c r="O103" s="151" t="n">
        <v>4</v>
      </c>
      <c r="P103" s="149" t="n">
        <v>22149.17</v>
      </c>
      <c r="Q103" s="149" t="n">
        <f aca="false">R103+S103</f>
        <v>22149.17</v>
      </c>
      <c r="R103" s="149" t="n">
        <v>22149.17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18571.85</v>
      </c>
      <c r="R104" s="165" t="n">
        <f aca="false">9735.05+8836.8</f>
        <v>18571.85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15</v>
      </c>
      <c r="I105" s="148" t="n">
        <v>13</v>
      </c>
      <c r="J105" s="148" t="n">
        <v>15</v>
      </c>
      <c r="K105" s="149" t="n">
        <v>13604.58</v>
      </c>
      <c r="L105" s="149" t="n">
        <f aca="false">M105+N105</f>
        <v>11422.99</v>
      </c>
      <c r="M105" s="149" t="n">
        <v>11422.99</v>
      </c>
      <c r="N105" s="190"/>
      <c r="O105" s="151" t="n">
        <v>12</v>
      </c>
      <c r="P105" s="149" t="n">
        <v>66472.81</v>
      </c>
      <c r="Q105" s="149" t="n">
        <f aca="false">R105+S105</f>
        <v>56733.17</v>
      </c>
      <c r="R105" s="149" t="n">
        <v>56733.17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11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6</v>
      </c>
      <c r="J107" s="154" t="n">
        <v>6</v>
      </c>
      <c r="K107" s="155" t="n">
        <v>8979.75</v>
      </c>
      <c r="L107" s="155" t="n">
        <v>8979.75</v>
      </c>
      <c r="M107" s="155" t="n">
        <v>8979.75</v>
      </c>
      <c r="N107" s="156"/>
      <c r="O107" s="157" t="n">
        <v>4</v>
      </c>
      <c r="P107" s="155" t="n">
        <v>7752.8</v>
      </c>
      <c r="Q107" s="155" t="n"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12</v>
      </c>
      <c r="I108" s="160" t="n">
        <v>8</v>
      </c>
      <c r="J108" s="160" t="n">
        <v>10</v>
      </c>
      <c r="K108" s="161" t="n">
        <v>18774.6</v>
      </c>
      <c r="L108" s="161" t="n">
        <f aca="false">M108+N108</f>
        <v>15740.26</v>
      </c>
      <c r="M108" s="161" t="n">
        <v>15740.26</v>
      </c>
      <c r="N108" s="190"/>
      <c r="O108" s="163" t="n">
        <v>12</v>
      </c>
      <c r="P108" s="161" t="n">
        <v>43029.23</v>
      </c>
      <c r="Q108" s="161" t="n">
        <f aca="false">R108+S108</f>
        <v>42324.43</v>
      </c>
      <c r="R108" s="161" t="n">
        <v>42324.43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15</v>
      </c>
      <c r="I110" s="148" t="n">
        <v>9</v>
      </c>
      <c r="J110" s="148" t="n">
        <v>10</v>
      </c>
      <c r="K110" s="149" t="n">
        <v>12245.21</v>
      </c>
      <c r="L110" s="149" t="n">
        <f aca="false">M110+N110</f>
        <v>12245.19</v>
      </c>
      <c r="M110" s="149" t="n">
        <v>12245.19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35</v>
      </c>
      <c r="I112" s="148" t="n">
        <v>33</v>
      </c>
      <c r="J112" s="148" t="n">
        <v>44</v>
      </c>
      <c r="K112" s="149" t="n">
        <v>65841.49</v>
      </c>
      <c r="L112" s="149" t="n">
        <f aca="false">M112+N112</f>
        <v>57191.52</v>
      </c>
      <c r="M112" s="149" t="n">
        <v>57191.52</v>
      </c>
      <c r="N112" s="190"/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24038.93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10</v>
      </c>
      <c r="I113" s="165" t="n">
        <v>7</v>
      </c>
      <c r="J113" s="165" t="n">
        <v>7</v>
      </c>
      <c r="K113" s="166" t="n">
        <v>18550.85</v>
      </c>
      <c r="L113" s="166" t="n">
        <f aca="false">M113+N113</f>
        <v>11836.15</v>
      </c>
      <c r="M113" s="166" t="n">
        <f aca="false">6957.5+828.45+2209.2+1841</f>
        <v>11836.15</v>
      </c>
      <c r="N113" s="156"/>
      <c r="O113" s="168" t="n">
        <v>2</v>
      </c>
      <c r="P113" s="166" t="n">
        <v>10748.14</v>
      </c>
      <c r="Q113" s="166" t="n">
        <f aca="false">R113+S113</f>
        <v>10748.14</v>
      </c>
      <c r="R113" s="166" t="n">
        <f aca="false">2643+8105.14</f>
        <v>10748.14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 t="n">
        <v>386.61</v>
      </c>
      <c r="N114" s="190"/>
      <c r="O114" s="206"/>
      <c r="P114" s="149"/>
      <c r="Q114" s="149"/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/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18</v>
      </c>
      <c r="I116" s="160" t="n">
        <v>11</v>
      </c>
      <c r="J116" s="160" t="n">
        <v>12</v>
      </c>
      <c r="K116" s="161" t="n">
        <v>14095.27</v>
      </c>
      <c r="L116" s="161" t="n">
        <f aca="false">M116+N116</f>
        <v>11822.95</v>
      </c>
      <c r="M116" s="161" t="n">
        <v>11822.95</v>
      </c>
      <c r="N116" s="190"/>
      <c r="O116" s="163" t="n">
        <v>5</v>
      </c>
      <c r="P116" s="161" t="n">
        <v>16326.21</v>
      </c>
      <c r="Q116" s="161" t="n">
        <f aca="false">R116+S116</f>
        <v>16326.21</v>
      </c>
      <c r="R116" s="161" t="n">
        <v>16326.21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 t="n">
        <f aca="false">8100.4</f>
        <v>8100.4</v>
      </c>
      <c r="N117" s="156"/>
      <c r="O117" s="157" t="n">
        <v>9</v>
      </c>
      <c r="P117" s="155" t="n">
        <v>22553.6</v>
      </c>
      <c r="Q117" s="155" t="n">
        <f aca="false">R117+S117</f>
        <v>27156.1</v>
      </c>
      <c r="R117" s="155" t="n">
        <f aca="false">528.6+22025+4602.5</f>
        <v>27156.1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38</v>
      </c>
      <c r="I118" s="160" t="n">
        <v>30</v>
      </c>
      <c r="J118" s="160" t="n">
        <v>44</v>
      </c>
      <c r="K118" s="161" t="n">
        <v>85407.29</v>
      </c>
      <c r="L118" s="161" t="n">
        <f aca="false">M118+N118</f>
        <v>72445.13</v>
      </c>
      <c r="M118" s="161" t="n">
        <v>72445.13</v>
      </c>
      <c r="N118" s="190"/>
      <c r="O118" s="163" t="n">
        <v>31</v>
      </c>
      <c r="P118" s="161" t="n">
        <v>60867.86</v>
      </c>
      <c r="Q118" s="161" t="n">
        <f aca="false">R118+S118</f>
        <v>57848.49</v>
      </c>
      <c r="R118" s="161" t="n">
        <v>57848.49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5</v>
      </c>
      <c r="J120" s="148" t="n">
        <v>5</v>
      </c>
      <c r="K120" s="149" t="n">
        <v>3764.27</v>
      </c>
      <c r="L120" s="149" t="n">
        <f aca="false">M120+N120</f>
        <v>3764.27</v>
      </c>
      <c r="M120" s="149" t="n">
        <v>3764.27</v>
      </c>
      <c r="N120" s="190"/>
      <c r="O120" s="151" t="n">
        <v>5</v>
      </c>
      <c r="P120" s="149" t="n">
        <v>57770.79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 t="s">
        <v>290</v>
      </c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48</v>
      </c>
      <c r="I122" s="148" t="n">
        <v>39</v>
      </c>
      <c r="J122" s="148" t="n">
        <v>50</v>
      </c>
      <c r="K122" s="149" t="n">
        <v>68025.35</v>
      </c>
      <c r="L122" s="149" t="n">
        <f aca="false">M122+N122</f>
        <v>62684.19</v>
      </c>
      <c r="M122" s="149" t="n">
        <v>62684.19</v>
      </c>
      <c r="N122" s="190"/>
      <c r="O122" s="151" t="n">
        <v>17</v>
      </c>
      <c r="P122" s="149" t="n">
        <v>27273.72</v>
      </c>
      <c r="Q122" s="149" t="n">
        <f aca="false">R122+S122</f>
        <v>27273.72</v>
      </c>
      <c r="R122" s="149" t="n">
        <v>27273.72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29</v>
      </c>
      <c r="I123" s="165" t="n">
        <v>20</v>
      </c>
      <c r="J123" s="165" t="n">
        <v>20</v>
      </c>
      <c r="K123" s="166" t="n">
        <v>25732.09</v>
      </c>
      <c r="L123" s="166" t="n">
        <v>25732.09</v>
      </c>
      <c r="M123" s="166" t="n">
        <v>25732.09</v>
      </c>
      <c r="N123" s="156"/>
      <c r="O123" s="168" t="n">
        <v>14</v>
      </c>
      <c r="P123" s="166" t="n">
        <v>28735.2</v>
      </c>
      <c r="Q123" s="166" t="n"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35</v>
      </c>
      <c r="I124" s="148" t="n">
        <v>27</v>
      </c>
      <c r="J124" s="148" t="n">
        <v>37</v>
      </c>
      <c r="K124" s="149" t="n">
        <v>151308.72</v>
      </c>
      <c r="L124" s="149" t="n">
        <f aca="false">M124+N124</f>
        <v>135956</v>
      </c>
      <c r="M124" s="149" t="n">
        <v>135956</v>
      </c>
      <c r="N124" s="190"/>
      <c r="O124" s="151" t="n">
        <v>24</v>
      </c>
      <c r="P124" s="149" t="n">
        <v>86775.94</v>
      </c>
      <c r="Q124" s="149" t="n">
        <f aca="false">R124+S124</f>
        <v>86775.94</v>
      </c>
      <c r="R124" s="149" t="n">
        <v>86775.94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46</v>
      </c>
      <c r="I126" s="160" t="n">
        <v>30</v>
      </c>
      <c r="J126" s="160" t="n">
        <v>32</v>
      </c>
      <c r="K126" s="161" t="n">
        <v>136346.41</v>
      </c>
      <c r="L126" s="161" t="n">
        <f aca="false">M126+N126</f>
        <v>58636.61</v>
      </c>
      <c r="M126" s="161" t="n">
        <v>58636.61</v>
      </c>
      <c r="N126" s="190"/>
      <c r="O126" s="163" t="n">
        <v>24</v>
      </c>
      <c r="P126" s="161" t="n">
        <v>180548.83</v>
      </c>
      <c r="Q126" s="161" t="n">
        <f aca="false">R126+S126</f>
        <v>143768.9</v>
      </c>
      <c r="R126" s="161" t="n">
        <v>143768.9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2</v>
      </c>
      <c r="J128" s="165" t="n">
        <v>4</v>
      </c>
      <c r="K128" s="166" t="n">
        <v>10364.86</v>
      </c>
      <c r="L128" s="166" t="n">
        <f aca="false">M128+N128</f>
        <v>4193.56</v>
      </c>
      <c r="M128" s="166" t="n">
        <f aca="false">2266.65+23.95+1902.96</f>
        <v>4193.56</v>
      </c>
      <c r="N128" s="156"/>
      <c r="O128" s="168" t="n">
        <v>12</v>
      </c>
      <c r="P128" s="166" t="n">
        <v>51305.88</v>
      </c>
      <c r="Q128" s="166" t="n">
        <f aca="false">R128+S128</f>
        <v>51305.88</v>
      </c>
      <c r="R128" s="166" t="n">
        <f aca="false">51305.88</f>
        <v>51305.88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8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11</v>
      </c>
      <c r="I131" s="160" t="n">
        <v>8</v>
      </c>
      <c r="J131" s="160" t="n">
        <v>9</v>
      </c>
      <c r="K131" s="161" t="n">
        <v>9996.05</v>
      </c>
      <c r="L131" s="161" t="n">
        <f aca="false">M131+N131</f>
        <v>9996.05</v>
      </c>
      <c r="M131" s="161" t="n">
        <v>9996.05</v>
      </c>
      <c r="N131" s="190"/>
      <c r="O131" s="163" t="n">
        <v>10</v>
      </c>
      <c r="P131" s="161" t="n">
        <v>26604.95</v>
      </c>
      <c r="Q131" s="161" t="n">
        <f aca="false">R131+S131</f>
        <v>26604.95</v>
      </c>
      <c r="R131" s="161" t="n">
        <v>26604.95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16749.33</v>
      </c>
      <c r="R132" s="155" t="n">
        <f aca="false">1585.8+1585.8+6070.83+5041.6+2465.3</f>
        <v>16749.33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9</v>
      </c>
      <c r="J133" s="192" t="n">
        <v>9</v>
      </c>
      <c r="K133" s="161" t="n">
        <v>25955.15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22074.3</v>
      </c>
      <c r="N135" s="190"/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46445.06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18</v>
      </c>
      <c r="J136" s="165" t="n">
        <v>18</v>
      </c>
      <c r="K136" s="166" t="n">
        <v>30306.9</v>
      </c>
      <c r="L136" s="166" t="n">
        <v>30306.9</v>
      </c>
      <c r="M136" s="166" t="n">
        <v>30306.9</v>
      </c>
      <c r="N136" s="156"/>
      <c r="O136" s="168" t="n">
        <v>10</v>
      </c>
      <c r="P136" s="166" t="n">
        <v>21848.8</v>
      </c>
      <c r="Q136" s="166" t="n"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40</v>
      </c>
      <c r="I137" s="148" t="n">
        <v>34</v>
      </c>
      <c r="J137" s="148" t="n">
        <v>46</v>
      </c>
      <c r="K137" s="149" t="n">
        <v>116327.91</v>
      </c>
      <c r="L137" s="149" t="n">
        <f aca="false">M137+N137</f>
        <v>99974.14</v>
      </c>
      <c r="M137" s="149" t="n">
        <v>99974.14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21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22</v>
      </c>
      <c r="J142" s="160" t="n">
        <v>24</v>
      </c>
      <c r="K142" s="161" t="n">
        <v>15732.83</v>
      </c>
      <c r="L142" s="161" t="n">
        <f aca="false">M142+N142</f>
        <v>13959.5</v>
      </c>
      <c r="M142" s="161" t="n">
        <v>13959.5</v>
      </c>
      <c r="N142" s="190"/>
      <c r="O142" s="163" t="n">
        <v>26</v>
      </c>
      <c r="P142" s="161" t="n">
        <v>58665.77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21</v>
      </c>
      <c r="I143" s="181" t="n">
        <v>9</v>
      </c>
      <c r="J143" s="181" t="n">
        <v>9</v>
      </c>
      <c r="K143" s="182" t="n">
        <v>9371.17</v>
      </c>
      <c r="L143" s="182" t="n">
        <f aca="false">M143+N143</f>
        <v>5241.35</v>
      </c>
      <c r="M143" s="182" t="n">
        <f aca="false">4228.8+1012.55</f>
        <v>5241.35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11</v>
      </c>
      <c r="I145" s="148" t="n">
        <v>8</v>
      </c>
      <c r="J145" s="148" t="n">
        <v>10</v>
      </c>
      <c r="K145" s="149" t="n">
        <v>9888.03</v>
      </c>
      <c r="L145" s="149" t="n">
        <f aca="false">M145+N145</f>
        <v>8735.43</v>
      </c>
      <c r="M145" s="149" t="n">
        <v>8735.43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9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29</v>
      </c>
      <c r="I147" s="160" t="n">
        <v>22</v>
      </c>
      <c r="J147" s="160" t="n">
        <v>23</v>
      </c>
      <c r="K147" s="161" t="n">
        <v>29062.09</v>
      </c>
      <c r="L147" s="161" t="n">
        <f aca="false">M147+N147</f>
        <v>28785.94</v>
      </c>
      <c r="M147" s="161" t="n">
        <v>28785.94</v>
      </c>
      <c r="N147" s="190"/>
      <c r="O147" s="163" t="n">
        <v>10</v>
      </c>
      <c r="P147" s="161" t="n">
        <v>36383.86</v>
      </c>
      <c r="Q147" s="161" t="n">
        <f aca="false">R147+S147</f>
        <v>31735.04</v>
      </c>
      <c r="R147" s="161" t="n">
        <v>31735.04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10</v>
      </c>
      <c r="I148" s="165" t="n">
        <v>3</v>
      </c>
      <c r="J148" s="165" t="n">
        <v>3</v>
      </c>
      <c r="K148" s="166" t="n">
        <v>12202.9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10</v>
      </c>
      <c r="I149" s="148" t="n">
        <v>7</v>
      </c>
      <c r="J149" s="148" t="n">
        <v>11</v>
      </c>
      <c r="K149" s="149" t="n">
        <v>28487.04</v>
      </c>
      <c r="L149" s="149" t="n">
        <f aca="false">M149+N149</f>
        <v>27095.98</v>
      </c>
      <c r="M149" s="149" t="n">
        <v>27095.98</v>
      </c>
      <c r="N149" s="190"/>
      <c r="O149" s="151" t="n">
        <v>13</v>
      </c>
      <c r="P149" s="149" t="n">
        <v>70014.67</v>
      </c>
      <c r="Q149" s="149" t="n">
        <f aca="false">R149+S149</f>
        <v>67817.02</v>
      </c>
      <c r="R149" s="149" t="n">
        <v>67817.02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4460.3</v>
      </c>
      <c r="M150" s="166" t="n">
        <f aca="false">4460.3</f>
        <v>4460.3</v>
      </c>
      <c r="N150" s="167"/>
      <c r="O150" s="168" t="n">
        <v>9</v>
      </c>
      <c r="P150" s="166" t="n">
        <v>30571</v>
      </c>
      <c r="Q150" s="166" t="n">
        <f aca="false">R150+S150</f>
        <v>28265.8</v>
      </c>
      <c r="R150" s="166" t="n">
        <f aca="false">17851.24+2945.6+4228.8+3240.16</f>
        <v>28265.8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4</v>
      </c>
      <c r="I151" s="148" t="n">
        <v>1</v>
      </c>
      <c r="J151" s="148" t="n">
        <v>1</v>
      </c>
      <c r="K151" s="149" t="n">
        <v>1834.44</v>
      </c>
      <c r="L151" s="149" t="n">
        <f aca="false">M151+N151</f>
        <v>1834.44</v>
      </c>
      <c r="M151" s="149" t="n">
        <v>1834.44</v>
      </c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8</v>
      </c>
      <c r="I152" s="154" t="n">
        <v>1</v>
      </c>
      <c r="J152" s="154" t="n">
        <v>1</v>
      </c>
      <c r="K152" s="155" t="n">
        <v>3037.65</v>
      </c>
      <c r="L152" s="155" t="n">
        <f aca="false">M152+N152</f>
        <v>3534.72</v>
      </c>
      <c r="M152" s="155" t="n">
        <f aca="false">2430.12+1104.6</f>
        <v>3534.72</v>
      </c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3</v>
      </c>
      <c r="J153" s="160" t="n">
        <v>3</v>
      </c>
      <c r="K153" s="161" t="n">
        <v>24319.62</v>
      </c>
      <c r="L153" s="161" t="n">
        <f aca="false">M153+N153</f>
        <v>24319.62</v>
      </c>
      <c r="M153" s="161" t="n">
        <v>24319.62</v>
      </c>
      <c r="N153" s="190"/>
      <c r="O153" s="163" t="n">
        <v>4</v>
      </c>
      <c r="P153" s="161" t="n">
        <v>64899.03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3</v>
      </c>
      <c r="I155" s="148" t="n">
        <v>2</v>
      </c>
      <c r="J155" s="148" t="n">
        <v>2</v>
      </c>
      <c r="K155" s="149" t="n">
        <v>7305.59</v>
      </c>
      <c r="L155" s="149" t="n">
        <f aca="false">M155+N155</f>
        <v>7305.59</v>
      </c>
      <c r="M155" s="149" t="n">
        <v>7305.59</v>
      </c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6</v>
      </c>
      <c r="J157" s="160" t="n">
        <v>7</v>
      </c>
      <c r="K157" s="161" t="n">
        <v>17193.36</v>
      </c>
      <c r="L157" s="161" t="n">
        <f aca="false">M157+N157</f>
        <v>2479.18</v>
      </c>
      <c r="M157" s="161" t="n">
        <v>2479.18</v>
      </c>
      <c r="N157" s="190"/>
      <c r="O157" s="163" t="n">
        <v>14</v>
      </c>
      <c r="P157" s="161" t="n">
        <v>62497.26</v>
      </c>
      <c r="Q157" s="161" t="n">
        <f aca="false">R157+S157</f>
        <v>62497.26</v>
      </c>
      <c r="R157" s="161" t="n">
        <v>62497.26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9</v>
      </c>
      <c r="P158" s="166" t="n">
        <v>25374.06</v>
      </c>
      <c r="Q158" s="166" t="n">
        <f aca="false">R158+S158</f>
        <v>18745.5</v>
      </c>
      <c r="R158" s="166" t="n">
        <f aca="false">4801.4+881+10853.9+2209.2</f>
        <v>18745.5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19</v>
      </c>
      <c r="I159" s="148" t="n">
        <v>16</v>
      </c>
      <c r="J159" s="148" t="n">
        <v>21</v>
      </c>
      <c r="K159" s="149" t="n">
        <v>45710.62</v>
      </c>
      <c r="L159" s="149" t="n">
        <f aca="false">M159+N159</f>
        <v>42505.62</v>
      </c>
      <c r="M159" s="149" t="n">
        <v>42505.62</v>
      </c>
      <c r="N159" s="190"/>
      <c r="O159" s="151" t="n">
        <v>25</v>
      </c>
      <c r="P159" s="149" t="n">
        <v>57527.58</v>
      </c>
      <c r="Q159" s="149" t="n">
        <f aca="false">R159+S159</f>
        <v>53205.2</v>
      </c>
      <c r="R159" s="149" t="n">
        <v>53205.2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9</v>
      </c>
      <c r="J160" s="165" t="n">
        <v>9</v>
      </c>
      <c r="K160" s="166" t="n">
        <v>30395.78</v>
      </c>
      <c r="L160" s="166" t="n">
        <f aca="false">M160+N160</f>
        <v>18794</v>
      </c>
      <c r="M160" s="166" t="n">
        <f aca="false">16841.7+552.3+1400</f>
        <v>18794</v>
      </c>
      <c r="N160" s="156"/>
      <c r="O160" s="157" t="n">
        <v>18</v>
      </c>
      <c r="P160" s="155" t="n">
        <v>73281.66</v>
      </c>
      <c r="Q160" s="155" t="n">
        <f aca="false">R160+S160</f>
        <v>74699.23</v>
      </c>
      <c r="R160" s="155" t="n">
        <f aca="false">66838.16+5891.2+552.3+1417.57</f>
        <v>74699.23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34</v>
      </c>
      <c r="I161" s="148" t="n">
        <v>30</v>
      </c>
      <c r="J161" s="193" t="n">
        <v>37</v>
      </c>
      <c r="K161" s="149" t="n">
        <v>56470.67</v>
      </c>
      <c r="L161" s="149" t="n">
        <f aca="false">M161+N161</f>
        <v>47537.67</v>
      </c>
      <c r="M161" s="149" t="n">
        <v>47537.67</v>
      </c>
      <c r="N161" s="190"/>
      <c r="O161" s="163" t="n">
        <v>23</v>
      </c>
      <c r="P161" s="161" t="n">
        <v>145256.82</v>
      </c>
      <c r="Q161" s="161" t="n">
        <f aca="false">R161+S161</f>
        <v>131257.29</v>
      </c>
      <c r="R161" s="161" t="n">
        <v>131257.29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5</v>
      </c>
      <c r="J162" s="165" t="n">
        <v>3</v>
      </c>
      <c r="K162" s="166" t="n">
        <v>12137.2</v>
      </c>
      <c r="L162" s="166" t="n">
        <f aca="false">4234.3</f>
        <v>4234.3</v>
      </c>
      <c r="M162" s="166"/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31</v>
      </c>
      <c r="I165" s="160" t="n">
        <v>30</v>
      </c>
      <c r="J165" s="160" t="n">
        <v>45</v>
      </c>
      <c r="K165" s="140" t="n">
        <v>108625.49</v>
      </c>
      <c r="L165" s="140" t="n">
        <f aca="false">M165+N165</f>
        <v>108625.49</v>
      </c>
      <c r="M165" s="140" t="n">
        <v>108625.49</v>
      </c>
      <c r="N165" s="190"/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32481.19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3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18</v>
      </c>
      <c r="I167" s="148" t="n">
        <v>15</v>
      </c>
      <c r="J167" s="148" t="n">
        <v>22</v>
      </c>
      <c r="K167" s="149" t="n">
        <v>59114.72</v>
      </c>
      <c r="L167" s="149" t="n">
        <f aca="false">M167+N167</f>
        <v>55355.63</v>
      </c>
      <c r="M167" s="149" t="n">
        <v>55355.63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5797.48</v>
      </c>
      <c r="Q169" s="161" t="n">
        <f aca="false">R169+S169</f>
        <v>5797.48</v>
      </c>
      <c r="R169" s="161" t="n">
        <v>5797.48</v>
      </c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7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31</v>
      </c>
      <c r="I173" s="160" t="n">
        <v>26</v>
      </c>
      <c r="J173" s="160" t="n">
        <v>31</v>
      </c>
      <c r="K173" s="161" t="n">
        <v>65157.65</v>
      </c>
      <c r="L173" s="161" t="n">
        <f aca="false">M173+N173</f>
        <v>62529.72</v>
      </c>
      <c r="M173" s="161" t="n">
        <v>62529.72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7</v>
      </c>
      <c r="I174" s="154" t="n">
        <v>5</v>
      </c>
      <c r="J174" s="154" t="n">
        <v>5</v>
      </c>
      <c r="K174" s="155" t="n">
        <v>9665.5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31</v>
      </c>
      <c r="I175" s="160" t="n">
        <v>25</v>
      </c>
      <c r="J175" s="160" t="n">
        <v>34</v>
      </c>
      <c r="K175" s="161" t="n">
        <v>41754.06</v>
      </c>
      <c r="L175" s="161" t="n">
        <f aca="false">M175+N175</f>
        <v>29092.64</v>
      </c>
      <c r="M175" s="161" t="n">
        <v>29092.64</v>
      </c>
      <c r="N175" s="190"/>
      <c r="O175" s="163" t="n">
        <v>24</v>
      </c>
      <c r="P175" s="161" t="n">
        <v>63326.02</v>
      </c>
      <c r="Q175" s="161" t="n">
        <f aca="false">R175+S175</f>
        <v>62192.17</v>
      </c>
      <c r="R175" s="161" t="n">
        <v>62192.17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15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5063.02</v>
      </c>
      <c r="M176" s="166" t="n">
        <f aca="false">1585.8+2924.92+552.3</f>
        <v>5063.02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18</v>
      </c>
      <c r="I177" s="148" t="n">
        <v>8</v>
      </c>
      <c r="J177" s="148" t="n">
        <v>11</v>
      </c>
      <c r="K177" s="149" t="n">
        <v>21620.5</v>
      </c>
      <c r="L177" s="149" t="n">
        <f aca="false">M177+N177</f>
        <v>21620.5</v>
      </c>
      <c r="M177" s="149" t="n">
        <v>21620.5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12430.95</v>
      </c>
      <c r="R181" s="166" t="n">
        <f aca="false">1762+1278.41+2862.29+1189.35+1288.7+4050.2</f>
        <v>12430.95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4944.25</v>
      </c>
      <c r="R182" s="149" t="n">
        <v>4944.25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11276.8+2945.6</f>
        <v>14222.4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2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 t="n">
        <v>649.87</v>
      </c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10</v>
      </c>
      <c r="I189" s="200" t="n">
        <v>6</v>
      </c>
      <c r="J189" s="200" t="n">
        <v>6</v>
      </c>
      <c r="K189" s="201" t="n">
        <v>11966.96</v>
      </c>
      <c r="L189" s="201" t="n">
        <f aca="false">M189+N189</f>
        <v>7179.9</v>
      </c>
      <c r="M189" s="201" t="n">
        <f aca="false">1104.6+1841+4234.3</f>
        <v>7179.9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9977.8</v>
      </c>
      <c r="R190" s="161" t="n">
        <v>9977.8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v>0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50</v>
      </c>
      <c r="I192" s="148" t="n">
        <v>44</v>
      </c>
      <c r="J192" s="148" t="n">
        <v>69</v>
      </c>
      <c r="K192" s="149" t="n">
        <v>115186.85</v>
      </c>
      <c r="L192" s="149" t="n">
        <f aca="false">M192+N192</f>
        <v>109652.45</v>
      </c>
      <c r="M192" s="149" t="n">
        <v>109652.45</v>
      </c>
      <c r="N192" s="190"/>
      <c r="O192" s="151" t="n">
        <v>38</v>
      </c>
      <c r="P192" s="149" t="n">
        <v>139570.66</v>
      </c>
      <c r="Q192" s="149" t="n">
        <f aca="false">R192+S192</f>
        <v>139570.66</v>
      </c>
      <c r="R192" s="149" t="n">
        <v>139570.66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13</v>
      </c>
      <c r="I194" s="160" t="n">
        <v>11</v>
      </c>
      <c r="J194" s="160" t="n">
        <v>11</v>
      </c>
      <c r="K194" s="161" t="n">
        <v>8243.76</v>
      </c>
      <c r="L194" s="161" t="n">
        <f aca="false">M194+N194</f>
        <v>6402.76</v>
      </c>
      <c r="M194" s="161" t="n">
        <v>6402.76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7</v>
      </c>
      <c r="J195" s="165" t="n">
        <v>7</v>
      </c>
      <c r="K195" s="166" t="n">
        <v>12518.8</v>
      </c>
      <c r="L195" s="161" t="n">
        <f aca="false">M195+N195</f>
        <v>9573.2</v>
      </c>
      <c r="M195" s="166" t="n">
        <f aca="false">2761.5+1841+1104.6+1656.9+2209.2</f>
        <v>9573.2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34</v>
      </c>
      <c r="I196" s="148" t="n">
        <v>21</v>
      </c>
      <c r="J196" s="148" t="n">
        <v>25</v>
      </c>
      <c r="K196" s="149" t="n">
        <v>41315.53</v>
      </c>
      <c r="L196" s="149" t="n">
        <f aca="false">M196+N196</f>
        <v>27701.57</v>
      </c>
      <c r="M196" s="149" t="n">
        <v>27701.57</v>
      </c>
      <c r="N196" s="190"/>
      <c r="O196" s="151" t="n">
        <v>14</v>
      </c>
      <c r="P196" s="149" t="n">
        <v>29562.2</v>
      </c>
      <c r="Q196" s="149" t="n">
        <f aca="false">R196+S196</f>
        <v>27526.97</v>
      </c>
      <c r="R196" s="149" t="n">
        <v>27526.97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66</v>
      </c>
      <c r="I198" s="148" t="n">
        <v>42</v>
      </c>
      <c r="J198" s="148" t="n">
        <v>42</v>
      </c>
      <c r="K198" s="149" t="n">
        <v>64196.96</v>
      </c>
      <c r="L198" s="149" t="n">
        <f aca="false">M198+N198</f>
        <v>63791.94</v>
      </c>
      <c r="M198" s="149" t="n">
        <v>63791.94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17</v>
      </c>
      <c r="I199" s="154" t="n">
        <v>12</v>
      </c>
      <c r="J199" s="154" t="n">
        <v>12</v>
      </c>
      <c r="K199" s="155" t="n">
        <v>13923.11</v>
      </c>
      <c r="L199" s="155" t="n">
        <v>13923.11</v>
      </c>
      <c r="M199" s="155" t="n">
        <v>13923.11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32</v>
      </c>
      <c r="I200" s="160" t="n">
        <v>22</v>
      </c>
      <c r="J200" s="160" t="n">
        <v>28</v>
      </c>
      <c r="K200" s="161" t="n">
        <v>70491.28</v>
      </c>
      <c r="L200" s="161" t="n">
        <f aca="false">M200+N200</f>
        <v>64444.19</v>
      </c>
      <c r="M200" s="161" t="n">
        <v>64444.19</v>
      </c>
      <c r="N200" s="190"/>
      <c r="O200" s="163" t="n">
        <v>14</v>
      </c>
      <c r="P200" s="161" t="n">
        <v>33154.57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37</v>
      </c>
      <c r="I201" s="165" t="n">
        <v>19</v>
      </c>
      <c r="J201" s="165" t="n">
        <v>19</v>
      </c>
      <c r="K201" s="166" t="n">
        <v>53959.63</v>
      </c>
      <c r="L201" s="166" t="n">
        <v>53959.63</v>
      </c>
      <c r="M201" s="166" t="n">
        <v>53959.63</v>
      </c>
      <c r="N201" s="156"/>
      <c r="O201" s="168" t="n">
        <v>18</v>
      </c>
      <c r="P201" s="166" t="n">
        <v>50780.62</v>
      </c>
      <c r="Q201" s="166" t="n">
        <v>50780.62</v>
      </c>
      <c r="R201" s="166" t="n">
        <v>50780.62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37</v>
      </c>
      <c r="I202" s="148" t="n">
        <v>30</v>
      </c>
      <c r="J202" s="148" t="n">
        <v>38</v>
      </c>
      <c r="K202" s="149" t="n">
        <v>52095.62</v>
      </c>
      <c r="L202" s="149" t="n">
        <f aca="false">M202+N202</f>
        <v>32978.34</v>
      </c>
      <c r="M202" s="149" t="n">
        <v>32978.34</v>
      </c>
      <c r="N202" s="190"/>
      <c r="O202" s="151" t="n">
        <v>28</v>
      </c>
      <c r="P202" s="149" t="n">
        <v>117273.29</v>
      </c>
      <c r="Q202" s="149" t="n">
        <f aca="false">R202+S202</f>
        <v>117273.29</v>
      </c>
      <c r="R202" s="149" t="n">
        <v>117273.29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5527.79</v>
      </c>
      <c r="M204" s="149" t="n">
        <v>5527.79</v>
      </c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5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19</v>
      </c>
      <c r="J208" s="160" t="n">
        <v>22</v>
      </c>
      <c r="K208" s="161" t="n">
        <v>25544.63</v>
      </c>
      <c r="L208" s="161" t="n">
        <f aca="false">M208+N208</f>
        <v>16625.48</v>
      </c>
      <c r="M208" s="161" t="n">
        <v>16625.48</v>
      </c>
      <c r="N208" s="190"/>
      <c r="O208" s="163" t="n">
        <v>9</v>
      </c>
      <c r="P208" s="161" t="n">
        <v>88573.81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8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16</v>
      </c>
      <c r="I210" s="148" t="n">
        <v>13</v>
      </c>
      <c r="J210" s="148" t="n">
        <v>23</v>
      </c>
      <c r="K210" s="149" t="n">
        <v>69022.94</v>
      </c>
      <c r="L210" s="149" t="n">
        <f aca="false">M210+N210</f>
        <v>69022.94</v>
      </c>
      <c r="M210" s="149" t="n">
        <v>69022.94</v>
      </c>
      <c r="N210" s="190"/>
      <c r="O210" s="151" t="n">
        <v>19</v>
      </c>
      <c r="P210" s="149" t="n">
        <v>176100.35</v>
      </c>
      <c r="Q210" s="149" t="n">
        <f aca="false">R210+S210</f>
        <v>168563.78</v>
      </c>
      <c r="R210" s="149" t="n">
        <v>168563.78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28</v>
      </c>
      <c r="I212" s="160" t="n">
        <v>19</v>
      </c>
      <c r="J212" s="160" t="n">
        <v>34</v>
      </c>
      <c r="K212" s="161" t="n">
        <v>72422.09</v>
      </c>
      <c r="L212" s="161" t="n">
        <f aca="false">M212+N212</f>
        <v>70855.58</v>
      </c>
      <c r="M212" s="161" t="n">
        <v>70855.58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20592.86</v>
      </c>
      <c r="N214" s="190"/>
      <c r="O214" s="151" t="n">
        <v>3</v>
      </c>
      <c r="P214" s="149" t="n">
        <v>5504.35</v>
      </c>
      <c r="Q214" s="149" t="n">
        <f aca="false">R214+S214</f>
        <v>5504.35</v>
      </c>
      <c r="R214" s="149" t="n">
        <v>5504.35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6</v>
      </c>
      <c r="I215" s="165" t="n">
        <v>3</v>
      </c>
      <c r="J215" s="165" t="n">
        <v>3</v>
      </c>
      <c r="K215" s="166" t="n">
        <v>5526.59</v>
      </c>
      <c r="L215" s="166" t="n">
        <f aca="false">M215+N215</f>
        <v>3250.6</v>
      </c>
      <c r="M215" s="166" t="n">
        <f aca="false">1409.6+1841</f>
        <v>3250.6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2</v>
      </c>
      <c r="P216" s="149" t="n">
        <v>14307.96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7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11</v>
      </c>
      <c r="P217" s="166" t="n">
        <v>42378.32</v>
      </c>
      <c r="Q217" s="166" t="n">
        <f aca="false">R217+S217</f>
        <v>41813.62</v>
      </c>
      <c r="R217" s="166" t="n">
        <f aca="false">34681.92+4002+1288.7+1841</f>
        <v>41813.62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29</v>
      </c>
      <c r="I218" s="148" t="n">
        <v>19</v>
      </c>
      <c r="J218" s="148" t="n">
        <v>27</v>
      </c>
      <c r="K218" s="149" t="n">
        <v>48677.17</v>
      </c>
      <c r="L218" s="149" t="n">
        <f aca="false">M218+N218</f>
        <v>40835.59</v>
      </c>
      <c r="M218" s="149" t="n">
        <v>40835.59</v>
      </c>
      <c r="N218" s="190"/>
      <c r="O218" s="151" t="n">
        <v>14</v>
      </c>
      <c r="P218" s="149" t="n">
        <v>51085.65</v>
      </c>
      <c r="Q218" s="149" t="n">
        <f aca="false">R218+S218</f>
        <v>51085.65</v>
      </c>
      <c r="R218" s="149" t="n">
        <v>51085.65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6</v>
      </c>
      <c r="K219" s="155" t="n">
        <v>13233.97</v>
      </c>
      <c r="L219" s="155" t="n">
        <f aca="false">M219+N219</f>
        <v>12957.82</v>
      </c>
      <c r="M219" s="155" t="n">
        <f aca="false">3347.8+1288.7+5467.77+1841+1012.55</f>
        <v>12957.82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32</v>
      </c>
      <c r="I220" s="160" t="n">
        <v>17</v>
      </c>
      <c r="J220" s="160" t="n">
        <v>26</v>
      </c>
      <c r="K220" s="161" t="n">
        <v>50762.46</v>
      </c>
      <c r="L220" s="161" t="n">
        <f aca="false">M220+N220</f>
        <v>49715.83</v>
      </c>
      <c r="M220" s="161" t="n">
        <v>49715.83</v>
      </c>
      <c r="N220" s="190"/>
      <c r="O220" s="163" t="n">
        <v>12</v>
      </c>
      <c r="P220" s="161" t="n">
        <v>32713.64</v>
      </c>
      <c r="Q220" s="161" t="n">
        <f aca="false">R220+S220</f>
        <v>32713.64</v>
      </c>
      <c r="R220" s="161" t="n">
        <v>32713.64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5593.75</v>
      </c>
      <c r="L221" s="166" t="n">
        <v>5593.75</v>
      </c>
      <c r="M221" s="166" t="n">
        <v>5593.75</v>
      </c>
      <c r="N221" s="156"/>
      <c r="O221" s="168" t="n">
        <v>5</v>
      </c>
      <c r="P221" s="166" t="n">
        <v>14800.8</v>
      </c>
      <c r="Q221" s="166" t="n"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13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6995.8+1288.7+5707.1+2945.6</f>
        <v>16937.2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4</v>
      </c>
      <c r="I224" s="148" t="n">
        <v>2</v>
      </c>
      <c r="J224" s="148" t="n">
        <v>2</v>
      </c>
      <c r="K224" s="149" t="n">
        <v>1370.33</v>
      </c>
      <c r="L224" s="149" t="n">
        <f aca="false">M224+N224</f>
        <v>1370.33</v>
      </c>
      <c r="M224" s="149" t="n">
        <v>1370.33</v>
      </c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8</v>
      </c>
      <c r="I227" s="154" t="n">
        <v>7</v>
      </c>
      <c r="J227" s="154" t="n">
        <v>7</v>
      </c>
      <c r="K227" s="155" t="n">
        <v>16767.87</v>
      </c>
      <c r="L227" s="155" t="n">
        <f aca="false">M227+N227</f>
        <v>4158.32</v>
      </c>
      <c r="M227" s="155" t="n">
        <f aca="false">2466.8+1691.52</f>
        <v>4158.32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28</v>
      </c>
      <c r="I228" s="160" t="n">
        <v>25</v>
      </c>
      <c r="J228" s="160" t="n">
        <v>39</v>
      </c>
      <c r="K228" s="161" t="n">
        <v>60292.7</v>
      </c>
      <c r="L228" s="161" t="n">
        <f aca="false">M228+N228</f>
        <v>53829.03</v>
      </c>
      <c r="M228" s="161" t="n">
        <v>53829.03</v>
      </c>
      <c r="N228" s="190"/>
      <c r="O228" s="163" t="n">
        <v>13</v>
      </c>
      <c r="P228" s="161" t="n">
        <v>75282.64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 t="n">
        <f aca="false">552.3</f>
        <v>552.3</v>
      </c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10</v>
      </c>
      <c r="I230" s="148" t="n">
        <v>7</v>
      </c>
      <c r="J230" s="148" t="n">
        <v>8</v>
      </c>
      <c r="K230" s="149" t="n">
        <v>10552.9</v>
      </c>
      <c r="L230" s="166" t="n">
        <f aca="false">M230+N230</f>
        <v>6613.73</v>
      </c>
      <c r="M230" s="149" t="n">
        <v>6613.73</v>
      </c>
      <c r="N230" s="190"/>
      <c r="O230" s="206"/>
      <c r="P230" s="149"/>
      <c r="Q230" s="149"/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/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5</v>
      </c>
      <c r="J232" s="148" t="n">
        <v>5</v>
      </c>
      <c r="K232" s="149" t="n">
        <v>3970.58</v>
      </c>
      <c r="L232" s="149" t="n">
        <f aca="false">M232+N232</f>
        <v>3970.58</v>
      </c>
      <c r="M232" s="149" t="n">
        <v>3970.58</v>
      </c>
      <c r="N232" s="190"/>
      <c r="O232" s="228" t="n">
        <v>7</v>
      </c>
      <c r="P232" s="161" t="n">
        <v>45328.43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8</v>
      </c>
      <c r="J233" s="165" t="n">
        <v>8</v>
      </c>
      <c r="K233" s="166" t="n">
        <v>27706.2</v>
      </c>
      <c r="L233" s="166" t="n">
        <f aca="false">M233+N233</f>
        <v>7831.8</v>
      </c>
      <c r="M233" s="166" t="n">
        <f aca="false">5167.21+823.59+1841</f>
        <v>7831.8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12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3171.6+2117.15+552.3</f>
        <v>5841.05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5</v>
      </c>
      <c r="J237" s="165" t="n">
        <v>5</v>
      </c>
      <c r="K237" s="166" t="n">
        <v>12611.85</v>
      </c>
      <c r="L237" s="166" t="n">
        <f aca="false">M237+N237</f>
        <v>12211.05</v>
      </c>
      <c r="M237" s="166" t="n">
        <f aca="false">11506.25+704.8</f>
        <v>12211.05</v>
      </c>
      <c r="N237" s="156"/>
      <c r="O237" s="168" t="n">
        <v>12</v>
      </c>
      <c r="P237" s="166" t="n">
        <v>35942.4</v>
      </c>
      <c r="Q237" s="166" t="n">
        <f aca="false">R237+S237</f>
        <v>35942.4</v>
      </c>
      <c r="R237" s="166" t="n">
        <f aca="false">31892.2+4050.2</f>
        <v>35942.4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19</v>
      </c>
      <c r="I238" s="148" t="n">
        <v>12</v>
      </c>
      <c r="J238" s="148" t="n">
        <v>13</v>
      </c>
      <c r="K238" s="149" t="n">
        <v>10653.11</v>
      </c>
      <c r="L238" s="149" t="n">
        <f aca="false">M238+N238</f>
        <v>9265.46</v>
      </c>
      <c r="M238" s="149" t="n">
        <v>9265.46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8056.78</v>
      </c>
      <c r="M239" s="155" t="n">
        <f aca="false">7044.23+1012.55</f>
        <v>8056.78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4</v>
      </c>
      <c r="P242" s="149" t="n">
        <v>34331.68</v>
      </c>
      <c r="Q242" s="149" t="n">
        <f aca="false">R242+S242</f>
        <v>34331.68</v>
      </c>
      <c r="R242" s="149" t="n">
        <v>34331.68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6</v>
      </c>
      <c r="J243" s="165" t="n">
        <v>6</v>
      </c>
      <c r="K243" s="166" t="n">
        <v>11146.65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6</v>
      </c>
      <c r="J244" s="148" t="n">
        <v>11</v>
      </c>
      <c r="K244" s="149" t="n">
        <v>13013.88</v>
      </c>
      <c r="L244" s="149" t="n">
        <f aca="false">M244+N244</f>
        <v>13013.88</v>
      </c>
      <c r="M244" s="149" t="n">
        <v>13013.88</v>
      </c>
      <c r="N244" s="224"/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4</v>
      </c>
      <c r="J245" s="154" t="n">
        <v>4</v>
      </c>
      <c r="K245" s="155" t="n">
        <v>6664.14</v>
      </c>
      <c r="L245" s="155" t="n">
        <v>6664.14</v>
      </c>
      <c r="M245" s="155" t="n">
        <v>6664.14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6</v>
      </c>
      <c r="P246" s="161" t="n">
        <v>21131.92</v>
      </c>
      <c r="Q246" s="161" t="n">
        <f aca="false">R246+S246</f>
        <v>21131.92</v>
      </c>
      <c r="R246" s="161" t="n">
        <v>21131.92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528.6+3700.2+1288.7+3497.9+2393.3+1288.7</f>
        <v>12697.4</v>
      </c>
      <c r="N247" s="167"/>
      <c r="O247" s="168" t="n">
        <v>5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6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2826</v>
      </c>
      <c r="I252" s="214" t="n">
        <f aca="false">SUM(I9:I251)</f>
        <v>1879</v>
      </c>
      <c r="J252" s="214" t="n">
        <f aca="false">SUM(J9:J251)</f>
        <v>2317</v>
      </c>
      <c r="K252" s="215" t="n">
        <f aca="false">SUM(K9:K251)</f>
        <v>4316198.86</v>
      </c>
      <c r="L252" s="215" t="n">
        <f aca="false">SUM(L9:L251)</f>
        <v>3743338.91</v>
      </c>
      <c r="M252" s="215" t="n">
        <f aca="false">SUM(M9:M251)</f>
        <v>3743333.41</v>
      </c>
      <c r="N252" s="243" t="n">
        <f aca="false">SUM(N9:N251)</f>
        <v>0</v>
      </c>
      <c r="O252" s="244" t="n">
        <f aca="false">SUM(O9:O251)</f>
        <v>1284</v>
      </c>
      <c r="P252" s="245" t="n">
        <f aca="false">SUM(P9:P251)</f>
        <v>4868873.38</v>
      </c>
      <c r="Q252" s="245" t="n">
        <f aca="false">SUM(Q9:Q251)</f>
        <v>4614751.34</v>
      </c>
      <c r="R252" s="245" t="n">
        <f aca="false">SUM(R9:R251)</f>
        <v>4625705.29</v>
      </c>
      <c r="S252" s="246" t="n">
        <f aca="false">SUM(S9:S251)</f>
        <v>0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1955</v>
      </c>
      <c r="H258" s="108" t="n">
        <f aca="false">SUMIF($G$9:$G$251,$F$258,I9:I251)</f>
        <v>1427</v>
      </c>
      <c r="I258" s="108" t="n">
        <f aca="false">SUMIF($G$9:$G$251,$F$258,J9:J251)</f>
        <v>1857</v>
      </c>
      <c r="J258" s="110" t="n">
        <f aca="false">SUMIF($G$9:$G$251,F258,$K$9:$K$251)</f>
        <v>3461896.44</v>
      </c>
      <c r="K258" s="110" t="n">
        <f aca="false">SUMIF($G$9:$G$251,$F$258,L9:L251)</f>
        <v>3049713.87</v>
      </c>
      <c r="L258" s="110" t="n">
        <f aca="false">SUMIF($G$9:$G$251,$F$258,M9:M251)</f>
        <v>3049713.87</v>
      </c>
      <c r="M258" s="110" t="n">
        <f aca="false">SUMIF($G$9:$G$251,$F$258,N9:N251)</f>
        <v>0</v>
      </c>
      <c r="N258" s="108" t="n">
        <f aca="false">SUMIF($G$9:$G$251,$F$258,O9:O251)</f>
        <v>853</v>
      </c>
      <c r="O258" s="110" t="n">
        <f aca="false">SUMIF($G$9:$G$251,F258,$P$9:$P$251)</f>
        <v>3721357.4</v>
      </c>
      <c r="P258" s="110" t="n">
        <f aca="false">SUMIF($G$9:$G$251,$F$258,Q9:Q251)</f>
        <v>3477097.25</v>
      </c>
      <c r="Q258" s="110" t="n">
        <f aca="false">SUMIF($G$9:$G$251,$F$258,R9:R251)</f>
        <v>3477097.25</v>
      </c>
      <c r="R258" s="110" t="n">
        <f aca="false">SUMIF($G$9:$G$251,$F$258,S9:S251)</f>
        <v>0</v>
      </c>
      <c r="S258" s="110" t="n">
        <f aca="false">Q258+L258</f>
        <v>6526811.12</v>
      </c>
      <c r="T258" s="111" t="n">
        <f aca="false">J258-L258+O258-Q258</f>
        <v>656442.720000001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582</v>
      </c>
      <c r="H259" s="108" t="n">
        <f aca="false">SUMIF($G$9:$G$251,$F$259,I9:I251)</f>
        <v>265</v>
      </c>
      <c r="I259" s="108" t="n">
        <f aca="false">SUMIF($G$9:$G$251,$F$259,J9:J251)</f>
        <v>273</v>
      </c>
      <c r="J259" s="110" t="n">
        <f aca="false">SUMIF($G$9:$G$251,F259,$K$9:$K$251)</f>
        <v>576860.78</v>
      </c>
      <c r="K259" s="110" t="n">
        <f aca="false">SUMIF($G$9:$G$251,$F$259,L9:L251)</f>
        <v>417816.25</v>
      </c>
      <c r="L259" s="110" t="n">
        <f aca="false">SUMIF($G$9:$G$251,$F$259,M9:M251)</f>
        <v>417810.75</v>
      </c>
      <c r="M259" s="110" t="n">
        <f aca="false">SUMIF($G$9:$G$251,$F$259,N9:N251)</f>
        <v>0</v>
      </c>
      <c r="N259" s="108" t="n">
        <f aca="false">SUMIF($G$9:$G$251,$F$259,O9:O251)</f>
        <v>320</v>
      </c>
      <c r="O259" s="110" t="n">
        <f aca="false">SUMIF($G$9:$G$251,F259,$P$9:$P$251)</f>
        <v>904081.78</v>
      </c>
      <c r="P259" s="110" t="n">
        <f aca="false">SUMIF($G$9:$G$251,$F$259,Q9:Q251)</f>
        <v>894219.89</v>
      </c>
      <c r="Q259" s="110" t="n">
        <f aca="false">SUMIF($G$9:$G$251,$F$259,R9:R251)</f>
        <v>905173.84</v>
      </c>
      <c r="R259" s="110" t="n">
        <f aca="false">SUMIF($G$9:$G$251,$F$259,S9:S251)</f>
        <v>0</v>
      </c>
      <c r="S259" s="110" t="n">
        <f aca="false">Q259+L259</f>
        <v>1322984.59</v>
      </c>
      <c r="T259" s="111" t="n">
        <f aca="false">J259-L259+O259-Q259</f>
        <v>157957.97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289</v>
      </c>
      <c r="H260" s="108" t="n">
        <f aca="false">SUMIF($G$9:$G$251,$F$260,I9:I251)</f>
        <v>187</v>
      </c>
      <c r="I260" s="108" t="n">
        <f aca="false">SUMIF($G$9:$G$251,$F$260,J9:J251)</f>
        <v>187</v>
      </c>
      <c r="J260" s="110" t="n">
        <f aca="false">SUMIF($G$9:$G$251,F260,$K$9:$K$251)</f>
        <v>277441.64</v>
      </c>
      <c r="K260" s="110" t="n">
        <f aca="false">SUMIF($G$9:$G$251,$F$260,L9:L251)</f>
        <v>275808.79</v>
      </c>
      <c r="L260" s="110" t="n">
        <f aca="false">SUMIF($G$9:$G$251,$F$260,M9:M251)</f>
        <v>275808.79</v>
      </c>
      <c r="M260" s="110" t="n">
        <f aca="false">SUMIF($G$9:$G$251,$F$260,N9:N251)</f>
        <v>0</v>
      </c>
      <c r="N260" s="108" t="n">
        <f aca="false">SUMIF($G$9:$G$251,$F$260,O9:O251)</f>
        <v>111</v>
      </c>
      <c r="O260" s="110" t="n">
        <f aca="false">SUMIF($G$9:$G$251,F260,$P$9:$P$251)</f>
        <v>243434.2</v>
      </c>
      <c r="P260" s="110" t="n">
        <f aca="false">SUMIF($G$9:$G$251,$F$260,Q9:Q251)</f>
        <v>243434.2</v>
      </c>
      <c r="Q260" s="110" t="n">
        <f aca="false">SUMIF($G$9:$G$251,$F$260,R9:R251)</f>
        <v>243434.2</v>
      </c>
      <c r="R260" s="110" t="n">
        <f aca="false">SUMIF($G$9:$G$251,$F$260,S9:S251)</f>
        <v>0</v>
      </c>
      <c r="S260" s="110" t="n">
        <f aca="false">Q260+L260</f>
        <v>519242.99</v>
      </c>
      <c r="T260" s="111" t="n">
        <f aca="false">J260-L260+O260-Q260</f>
        <v>1632.85000000004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2826</v>
      </c>
      <c r="H261" s="216" t="n">
        <f aca="false">H260+H259+H258</f>
        <v>1879</v>
      </c>
      <c r="I261" s="216" t="n">
        <f aca="false">I260+I259+I258</f>
        <v>2317</v>
      </c>
      <c r="J261" s="217" t="n">
        <f aca="false">J260+J259+J258</f>
        <v>4316198.86</v>
      </c>
      <c r="K261" s="217" t="n">
        <f aca="false">K260+K259+K258</f>
        <v>3743338.91</v>
      </c>
      <c r="L261" s="217" t="n">
        <f aca="false">L260+L259+L258</f>
        <v>3743333.41</v>
      </c>
      <c r="M261" s="217" t="n">
        <f aca="false">M260+M259+M258</f>
        <v>0</v>
      </c>
      <c r="N261" s="216" t="n">
        <f aca="false">N260+N259+N258</f>
        <v>1284</v>
      </c>
      <c r="O261" s="217" t="n">
        <f aca="false">O260+O259+O258</f>
        <v>4868873.38</v>
      </c>
      <c r="P261" s="217" t="n">
        <f aca="false">P260+P259+P258</f>
        <v>4614751.34</v>
      </c>
      <c r="Q261" s="217" t="n">
        <f aca="false">Q260+Q259+Q258</f>
        <v>4625705.29</v>
      </c>
      <c r="R261" s="217" t="n">
        <f aca="false">R260+R259+R258</f>
        <v>0</v>
      </c>
      <c r="S261" s="217" t="n">
        <f aca="false">S260+S259+S258</f>
        <v>8369038.7</v>
      </c>
      <c r="T261" s="217" t="n">
        <f aca="false">T260+T259+T258</f>
        <v>816033.540000002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5" hidden="false" customHeight="false" outlineLevel="0" collapsed="false">
      <c r="K317" s="236"/>
    </row>
    <row r="318" customFormat="false" ht="15" hidden="false" customHeight="false" outlineLevel="0" collapsed="false">
      <c r="K318" s="236"/>
    </row>
    <row r="319" customFormat="false" ht="15" hidden="false" customHeight="false" outlineLevel="0" collapsed="false">
      <c r="K319" s="236"/>
    </row>
    <row r="320" customFormat="false" ht="15" hidden="false" customHeight="false" outlineLevel="0" collapsed="false">
      <c r="K320" s="236"/>
    </row>
    <row r="321" customFormat="false" ht="15" hidden="false" customHeight="false" outlineLevel="0" collapsed="false">
      <c r="K321" s="236"/>
    </row>
    <row r="322" customFormat="false" ht="15" hidden="false" customHeight="false" outlineLevel="0" collapsed="false">
      <c r="F322" s="0" t="s">
        <v>22</v>
      </c>
      <c r="G322" s="0" t="n">
        <v>1912</v>
      </c>
      <c r="H322" s="247" t="n">
        <v>1419</v>
      </c>
      <c r="I322" s="247" t="n">
        <v>1847</v>
      </c>
      <c r="J322" s="0" t="n">
        <v>3449566.14</v>
      </c>
      <c r="K322" s="236"/>
      <c r="N322" s="0" t="n">
        <v>847</v>
      </c>
      <c r="O322" s="0" t="n">
        <v>3711813.93</v>
      </c>
    </row>
    <row r="323" customFormat="false" ht="15" hidden="false" customHeight="false" outlineLevel="0" collapsed="false">
      <c r="G323" s="221" t="n">
        <f aca="false">G258-G322</f>
        <v>43</v>
      </c>
      <c r="H323" s="221" t="n">
        <f aca="false">H258-H322</f>
        <v>8</v>
      </c>
      <c r="I323" s="221" t="n">
        <f aca="false">I258-I322</f>
        <v>10</v>
      </c>
      <c r="J323" s="229" t="n">
        <f aca="false">J258-J322</f>
        <v>12330.2999999998</v>
      </c>
      <c r="K323" s="236"/>
      <c r="N323" s="221" t="n">
        <f aca="false">N258-N322</f>
        <v>6</v>
      </c>
      <c r="O323" s="229" t="n">
        <f aca="false">O258-O322</f>
        <v>9543.47000000021</v>
      </c>
    </row>
    <row r="324" customFormat="false" ht="15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AC1073"/>
  <sheetViews>
    <sheetView showFormulas="false" showGridLines="true" showRowColHeaders="true" showZeros="true" rightToLeft="false" tabSelected="true" showOutlineSymbols="true" defaultGridColor="true" view="normal" topLeftCell="A216" colorId="64" zoomScale="75" zoomScaleNormal="75" zoomScalePageLayoutView="100" workbookViewId="0">
      <selection pane="topLeft" activeCell="P270" activeCellId="0" sqref="P270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0" min="20" style="0" width="14.86"/>
    <col collapsed="false" customWidth="true" hidden="false" outlineLevel="0" max="22" min="21" style="0" width="9.13"/>
    <col collapsed="false" customWidth="true" hidden="false" outlineLevel="0" max="23" min="23" style="0" width="13.7"/>
    <col collapsed="false" customWidth="true" hidden="false" outlineLevel="0" max="24" min="24" style="0" width="11.3"/>
    <col collapsed="false" customWidth="true" hidden="false" outlineLevel="0" max="29" min="25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230" t="s">
        <v>151</v>
      </c>
      <c r="B1" s="230"/>
      <c r="C1" s="1"/>
      <c r="D1" s="1"/>
      <c r="E1" s="1"/>
      <c r="F1" s="1"/>
      <c r="G1" s="1"/>
      <c r="H1" s="1"/>
      <c r="I1" s="1"/>
      <c r="J1" s="1"/>
      <c r="K1" s="234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252" t="s">
        <v>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234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253" t="s">
        <v>3</v>
      </c>
      <c r="B6" s="254" t="s">
        <v>4</v>
      </c>
      <c r="C6" s="254"/>
      <c r="D6" s="254"/>
      <c r="E6" s="254"/>
      <c r="F6" s="254"/>
      <c r="G6" s="254"/>
      <c r="H6" s="255" t="s">
        <v>5</v>
      </c>
      <c r="I6" s="255"/>
      <c r="J6" s="255"/>
      <c r="K6" s="255"/>
      <c r="L6" s="255"/>
      <c r="M6" s="255"/>
      <c r="N6" s="255"/>
      <c r="O6" s="255" t="s">
        <v>6</v>
      </c>
      <c r="P6" s="255"/>
      <c r="Q6" s="255"/>
      <c r="R6" s="255"/>
      <c r="S6" s="255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256"/>
      <c r="B7" s="257" t="s">
        <v>7</v>
      </c>
      <c r="C7" s="257" t="s">
        <v>8</v>
      </c>
      <c r="D7" s="257" t="s">
        <v>9</v>
      </c>
      <c r="E7" s="257" t="s">
        <v>10</v>
      </c>
      <c r="F7" s="257" t="s">
        <v>11</v>
      </c>
      <c r="G7" s="258" t="s">
        <v>12</v>
      </c>
      <c r="H7" s="259" t="s">
        <v>13</v>
      </c>
      <c r="I7" s="257" t="s">
        <v>14</v>
      </c>
      <c r="J7" s="257" t="s">
        <v>15</v>
      </c>
      <c r="K7" s="257" t="s">
        <v>226</v>
      </c>
      <c r="L7" s="257" t="s">
        <v>16</v>
      </c>
      <c r="M7" s="257" t="s">
        <v>17</v>
      </c>
      <c r="N7" s="260" t="s">
        <v>18</v>
      </c>
      <c r="O7" s="259" t="s">
        <v>15</v>
      </c>
      <c r="P7" s="257" t="s">
        <v>226</v>
      </c>
      <c r="Q7" s="257" t="s">
        <v>16</v>
      </c>
      <c r="R7" s="257" t="s">
        <v>17</v>
      </c>
      <c r="S7" s="260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261" t="n">
        <v>1</v>
      </c>
      <c r="B8" s="262" t="n">
        <f aca="false">A8+1</f>
        <v>2</v>
      </c>
      <c r="C8" s="262" t="n">
        <f aca="false">B8+1</f>
        <v>3</v>
      </c>
      <c r="D8" s="262" t="n">
        <f aca="false">C8+1</f>
        <v>4</v>
      </c>
      <c r="E8" s="262" t="n">
        <f aca="false">D8+1</f>
        <v>5</v>
      </c>
      <c r="F8" s="262" t="n">
        <f aca="false">E8+1</f>
        <v>6</v>
      </c>
      <c r="G8" s="263" t="n">
        <f aca="false">F8+1</f>
        <v>7</v>
      </c>
      <c r="H8" s="261" t="n">
        <f aca="false">G8+1</f>
        <v>8</v>
      </c>
      <c r="I8" s="262" t="n">
        <f aca="false">H8+1</f>
        <v>9</v>
      </c>
      <c r="J8" s="262" t="n">
        <f aca="false">I8+1</f>
        <v>10</v>
      </c>
      <c r="K8" s="262"/>
      <c r="L8" s="262" t="n">
        <f aca="false">J8+1</f>
        <v>11</v>
      </c>
      <c r="M8" s="262" t="n">
        <f aca="false">L8+1</f>
        <v>12</v>
      </c>
      <c r="N8" s="264" t="n">
        <f aca="false">M8+1</f>
        <v>13</v>
      </c>
      <c r="O8" s="261" t="n">
        <f aca="false">N8+1</f>
        <v>14</v>
      </c>
      <c r="P8" s="262"/>
      <c r="Q8" s="262" t="n">
        <f aca="false">O8+1</f>
        <v>15</v>
      </c>
      <c r="R8" s="262" t="n">
        <f aca="false">Q8+1</f>
        <v>16</v>
      </c>
      <c r="S8" s="265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266" t="s">
        <v>19</v>
      </c>
      <c r="C9" s="266" t="s">
        <v>20</v>
      </c>
      <c r="D9" s="266"/>
      <c r="E9" s="266" t="s">
        <v>21</v>
      </c>
      <c r="F9" s="267"/>
      <c r="G9" s="146" t="s">
        <v>22</v>
      </c>
      <c r="H9" s="147" t="n">
        <v>12</v>
      </c>
      <c r="I9" s="148" t="n">
        <v>1</v>
      </c>
      <c r="J9" s="148" t="n">
        <v>1</v>
      </c>
      <c r="K9" s="149" t="n">
        <v>965.3</v>
      </c>
      <c r="L9" s="149" t="n">
        <f aca="false">M9+N9</f>
        <v>965.3</v>
      </c>
      <c r="M9" s="149" t="n">
        <v>965.3</v>
      </c>
      <c r="N9" s="198"/>
      <c r="O9" s="206" t="n">
        <v>17</v>
      </c>
      <c r="P9" s="149" t="n">
        <v>52489.45</v>
      </c>
      <c r="Q9" s="149" t="n">
        <f aca="false">R9+S9</f>
        <v>37023.57</v>
      </c>
      <c r="R9" s="149" t="n">
        <v>37023.57</v>
      </c>
      <c r="S9" s="19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266"/>
      <c r="C10" s="266"/>
      <c r="D10" s="266"/>
      <c r="E10" s="266"/>
      <c r="F10" s="218" t="s">
        <v>228</v>
      </c>
      <c r="G10" s="152" t="s">
        <v>23</v>
      </c>
      <c r="H10" s="153" t="n">
        <v>4</v>
      </c>
      <c r="I10" s="154" t="n">
        <v>2</v>
      </c>
      <c r="J10" s="154" t="n">
        <v>2</v>
      </c>
      <c r="K10" s="155" t="n">
        <v>2209.2</v>
      </c>
      <c r="L10" s="149" t="n">
        <f aca="false">M10+N10</f>
        <v>2209.2</v>
      </c>
      <c r="M10" s="155" t="n">
        <v>2209.2</v>
      </c>
      <c r="N10" s="156"/>
      <c r="O10" s="238" t="n">
        <v>1</v>
      </c>
      <c r="P10" s="166" t="n">
        <v>776.7</v>
      </c>
      <c r="Q10" s="166" t="n">
        <f aca="false">R10+S10</f>
        <v>776.7</v>
      </c>
      <c r="R10" s="166" t="n">
        <v>776.7</v>
      </c>
      <c r="S10" s="167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188" t="s">
        <v>24</v>
      </c>
      <c r="C11" s="188" t="s">
        <v>20</v>
      </c>
      <c r="D11" s="188"/>
      <c r="E11" s="188" t="s">
        <v>25</v>
      </c>
      <c r="F11" s="268"/>
      <c r="G11" s="158" t="s">
        <v>22</v>
      </c>
      <c r="H11" s="159" t="n">
        <v>30</v>
      </c>
      <c r="I11" s="160" t="n">
        <v>22</v>
      </c>
      <c r="J11" s="160" t="n">
        <v>37</v>
      </c>
      <c r="K11" s="161" t="n">
        <v>86233.66</v>
      </c>
      <c r="L11" s="149" t="n">
        <f aca="false">M11+N11</f>
        <v>86233.66</v>
      </c>
      <c r="M11" s="161" t="n">
        <v>86233.66</v>
      </c>
      <c r="N11" s="239"/>
      <c r="O11" s="151" t="n">
        <v>13</v>
      </c>
      <c r="P11" s="149" t="n">
        <v>83076.37</v>
      </c>
      <c r="Q11" s="149" t="n">
        <f aca="false">R11+S11</f>
        <v>44687.32</v>
      </c>
      <c r="R11" s="149" t="n">
        <v>44687.32</v>
      </c>
      <c r="S11" s="150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188"/>
      <c r="C12" s="188"/>
      <c r="D12" s="188"/>
      <c r="E12" s="188"/>
      <c r="F12" s="52" t="s">
        <v>263</v>
      </c>
      <c r="G12" s="164" t="s">
        <v>26</v>
      </c>
      <c r="H12" s="175" t="n">
        <v>8</v>
      </c>
      <c r="I12" s="165" t="n">
        <v>2</v>
      </c>
      <c r="J12" s="165" t="n">
        <v>2</v>
      </c>
      <c r="K12" s="166" t="n">
        <v>2945.6</v>
      </c>
      <c r="L12" s="166" t="n">
        <f aca="false">M12+N12</f>
        <v>2945.6</v>
      </c>
      <c r="M12" s="166" t="n">
        <f aca="false">1841+1104.6</f>
        <v>2945.6</v>
      </c>
      <c r="N12" s="226"/>
      <c r="O12" s="157" t="n">
        <v>2</v>
      </c>
      <c r="P12" s="155" t="n">
        <v>2466.8</v>
      </c>
      <c r="Q12" s="155" t="n">
        <f aca="false">R12+S12</f>
        <v>2466.8</v>
      </c>
      <c r="R12" s="155" t="n">
        <f aca="false">1585.8+881</f>
        <v>2466.8</v>
      </c>
      <c r="S12" s="156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266" t="s">
        <v>27</v>
      </c>
      <c r="C13" s="266" t="s">
        <v>20</v>
      </c>
      <c r="D13" s="269"/>
      <c r="E13" s="266" t="s">
        <v>25</v>
      </c>
      <c r="F13" s="193"/>
      <c r="G13" s="146" t="s">
        <v>22</v>
      </c>
      <c r="H13" s="173" t="n">
        <v>40</v>
      </c>
      <c r="I13" s="148" t="n">
        <v>36</v>
      </c>
      <c r="J13" s="148" t="n">
        <v>57</v>
      </c>
      <c r="K13" s="149" t="n">
        <v>95419.12</v>
      </c>
      <c r="L13" s="149" t="n">
        <f aca="false">M13+N13</f>
        <v>81681.28</v>
      </c>
      <c r="M13" s="149" t="n">
        <v>81681.28</v>
      </c>
      <c r="N13" s="249"/>
      <c r="O13" s="228" t="n">
        <v>8</v>
      </c>
      <c r="P13" s="161" t="n">
        <v>31855.11</v>
      </c>
      <c r="Q13" s="161" t="n">
        <f aca="false">R13+S13</f>
        <v>31855.11</v>
      </c>
      <c r="R13" s="161" t="n">
        <v>31855.11</v>
      </c>
      <c r="S13" s="190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266"/>
      <c r="C14" s="266"/>
      <c r="D14" s="266"/>
      <c r="E14" s="266"/>
      <c r="F14" s="218" t="s">
        <v>159</v>
      </c>
      <c r="G14" s="152" t="s">
        <v>26</v>
      </c>
      <c r="H14" s="176" t="n">
        <v>6</v>
      </c>
      <c r="I14" s="154" t="n">
        <v>7</v>
      </c>
      <c r="J14" s="154" t="n">
        <v>7</v>
      </c>
      <c r="K14" s="155" t="n">
        <v>17466.75</v>
      </c>
      <c r="L14" s="155" t="n">
        <f aca="false">M14+N14</f>
        <v>17466.75</v>
      </c>
      <c r="M14" s="155" t="n">
        <f aca="false">1938.2+5638.4+4017.36+1822.59+4050.2</f>
        <v>17466.75</v>
      </c>
      <c r="N14" s="156"/>
      <c r="O14" s="209" t="n">
        <v>7</v>
      </c>
      <c r="P14" s="155" t="n">
        <v>15497.5</v>
      </c>
      <c r="Q14" s="155" t="n">
        <f aca="false">R14+S14</f>
        <v>15497.5</v>
      </c>
      <c r="R14" s="155" t="n">
        <f aca="false">1585.8+2106.3+5109.8+2114.4+4581.2</f>
        <v>15497.5</v>
      </c>
      <c r="S14" s="167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188" t="s">
        <v>28</v>
      </c>
      <c r="C15" s="188" t="s">
        <v>20</v>
      </c>
      <c r="D15" s="188" t="s">
        <v>160</v>
      </c>
      <c r="E15" s="188" t="s">
        <v>25</v>
      </c>
      <c r="F15" s="268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90"/>
      <c r="O15" s="151" t="n">
        <v>3</v>
      </c>
      <c r="P15" s="149" t="n">
        <v>10353.9</v>
      </c>
      <c r="Q15" s="149" t="n">
        <f aca="false">R15+S15</f>
        <v>10353.9</v>
      </c>
      <c r="R15" s="149" t="n">
        <v>10353.9</v>
      </c>
      <c r="S15" s="198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188"/>
      <c r="C16" s="188"/>
      <c r="D16" s="188"/>
      <c r="E16" s="188"/>
      <c r="F16" s="52" t="s">
        <v>161</v>
      </c>
      <c r="G16" s="170" t="s">
        <v>26</v>
      </c>
      <c r="H16" s="172" t="n">
        <v>7</v>
      </c>
      <c r="I16" s="165" t="n">
        <v>4</v>
      </c>
      <c r="J16" s="165" t="n">
        <v>4</v>
      </c>
      <c r="K16" s="166" t="n">
        <v>9191.6</v>
      </c>
      <c r="L16" s="166" t="n">
        <f aca="false">M16+N16</f>
        <v>7350.6</v>
      </c>
      <c r="M16" s="166" t="n">
        <f aca="false">4405+2945.6</f>
        <v>7350.6</v>
      </c>
      <c r="N16" s="167"/>
      <c r="O16" s="168" t="n">
        <v>7</v>
      </c>
      <c r="P16" s="166" t="n">
        <v>32299.9</v>
      </c>
      <c r="Q16" s="166" t="n">
        <f aca="false">R16+S16</f>
        <v>25827.9</v>
      </c>
      <c r="R16" s="166" t="n">
        <f aca="false">23434.6+2393.3</f>
        <v>25827.9</v>
      </c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266" t="s">
        <v>293</v>
      </c>
      <c r="C17" s="266"/>
      <c r="D17" s="266"/>
      <c r="E17" s="266" t="s">
        <v>25</v>
      </c>
      <c r="F17" s="267"/>
      <c r="G17" s="146" t="s">
        <v>22</v>
      </c>
      <c r="H17" s="173"/>
      <c r="I17" s="148"/>
      <c r="J17" s="148"/>
      <c r="K17" s="149"/>
      <c r="L17" s="149" t="n">
        <f aca="false">M17+N17</f>
        <v>0</v>
      </c>
      <c r="M17" s="149"/>
      <c r="N17" s="150"/>
      <c r="O17" s="206" t="n">
        <v>1</v>
      </c>
      <c r="P17" s="149" t="n">
        <v>54835.07</v>
      </c>
      <c r="Q17" s="149" t="n">
        <f aca="false">R17+S17</f>
        <v>54835.07</v>
      </c>
      <c r="R17" s="149" t="n">
        <v>54835.07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" hidden="false" customHeight="false" outlineLevel="0" collapsed="false">
      <c r="A18" s="17"/>
      <c r="B18" s="266"/>
      <c r="C18" s="266"/>
      <c r="D18" s="266"/>
      <c r="E18" s="266"/>
      <c r="F18" s="270"/>
      <c r="G18" s="152" t="s">
        <v>26</v>
      </c>
      <c r="H18" s="174"/>
      <c r="I18" s="154"/>
      <c r="J18" s="154"/>
      <c r="K18" s="155"/>
      <c r="L18" s="155" t="n">
        <f aca="false">M18+N18</f>
        <v>0</v>
      </c>
      <c r="M18" s="155"/>
      <c r="N18" s="156"/>
      <c r="O18" s="209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" hidden="false" customHeight="true" outlineLevel="0" collapsed="false">
      <c r="A19" s="54"/>
      <c r="B19" s="200" t="s">
        <v>229</v>
      </c>
      <c r="C19" s="200"/>
      <c r="D19" s="200"/>
      <c r="E19" s="200"/>
      <c r="F19" s="268"/>
      <c r="G19" s="158" t="s">
        <v>22</v>
      </c>
      <c r="H19" s="159" t="n">
        <v>24</v>
      </c>
      <c r="I19" s="160" t="n">
        <v>13</v>
      </c>
      <c r="J19" s="160" t="n">
        <v>14</v>
      </c>
      <c r="K19" s="161" t="n">
        <v>27034.89</v>
      </c>
      <c r="L19" s="161" t="n">
        <f aca="false">M19+N19</f>
        <v>7035.06</v>
      </c>
      <c r="M19" s="161" t="n">
        <v>7035.06</v>
      </c>
      <c r="N19" s="239"/>
      <c r="O19" s="163"/>
      <c r="P19" s="161"/>
      <c r="Q19" s="161" t="n">
        <f aca="false">R19+S19</f>
        <v>0</v>
      </c>
      <c r="R19" s="161" t="n">
        <v>0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" hidden="false" customHeight="false" outlineLevel="0" collapsed="false">
      <c r="A20" s="54"/>
      <c r="B20" s="200"/>
      <c r="C20" s="200"/>
      <c r="D20" s="200"/>
      <c r="E20" s="200"/>
      <c r="F20" s="218" t="s">
        <v>264</v>
      </c>
      <c r="G20" s="152" t="s">
        <v>26</v>
      </c>
      <c r="H20" s="174" t="n">
        <v>10</v>
      </c>
      <c r="I20" s="154" t="n">
        <v>8</v>
      </c>
      <c r="J20" s="154" t="n">
        <v>8</v>
      </c>
      <c r="K20" s="155" t="n">
        <v>6300</v>
      </c>
      <c r="L20" s="155" t="n">
        <f aca="false">M20+N20</f>
        <v>6300</v>
      </c>
      <c r="M20" s="155" t="n">
        <f aca="false">2986.2+1656.9+1104.6+552.3</f>
        <v>6300</v>
      </c>
      <c r="N20" s="226"/>
      <c r="O20" s="157"/>
      <c r="P20" s="155"/>
      <c r="Q20" s="155" t="n">
        <f aca="false">R20+S20</f>
        <v>0</v>
      </c>
      <c r="R20" s="155" t="n">
        <v>0</v>
      </c>
      <c r="S20" s="156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" hidden="false" customHeight="true" outlineLevel="0" collapsed="false">
      <c r="A21" s="54"/>
      <c r="B21" s="200" t="s">
        <v>29</v>
      </c>
      <c r="C21" s="200" t="s">
        <v>20</v>
      </c>
      <c r="D21" s="200" t="s">
        <v>30</v>
      </c>
      <c r="E21" s="200" t="s">
        <v>31</v>
      </c>
      <c r="F21" s="271"/>
      <c r="G21" s="158" t="s">
        <v>22</v>
      </c>
      <c r="H21" s="159" t="n">
        <v>26</v>
      </c>
      <c r="I21" s="160" t="n">
        <v>20</v>
      </c>
      <c r="J21" s="160" t="n">
        <v>27</v>
      </c>
      <c r="K21" s="161" t="n">
        <v>35008.32</v>
      </c>
      <c r="L21" s="161" t="n">
        <f aca="false">M21+N21</f>
        <v>33962.34</v>
      </c>
      <c r="M21" s="161" t="n">
        <v>33962.34</v>
      </c>
      <c r="N21" s="190"/>
      <c r="O21" s="163" t="n">
        <v>20</v>
      </c>
      <c r="P21" s="161" t="n">
        <v>51655.43</v>
      </c>
      <c r="Q21" s="161" t="n">
        <f aca="false">R21+S21</f>
        <v>51655.43</v>
      </c>
      <c r="R21" s="161" t="n">
        <v>51655.43</v>
      </c>
      <c r="S21" s="19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54"/>
      <c r="B22" s="200"/>
      <c r="C22" s="200"/>
      <c r="D22" s="200"/>
      <c r="E22" s="200"/>
      <c r="F22" s="218"/>
      <c r="G22" s="152" t="s">
        <v>26</v>
      </c>
      <c r="H22" s="171" t="n">
        <v>4</v>
      </c>
      <c r="I22" s="154" t="n">
        <v>3</v>
      </c>
      <c r="J22" s="154" t="n">
        <v>3</v>
      </c>
      <c r="K22" s="155" t="n">
        <v>4155.3</v>
      </c>
      <c r="L22" s="155" t="n">
        <f aca="false">M22+N22</f>
        <v>2393.3</v>
      </c>
      <c r="M22" s="155" t="n">
        <f aca="false">1104.6+1288.7</f>
        <v>2393.3</v>
      </c>
      <c r="N22" s="156"/>
      <c r="O22" s="157" t="n">
        <v>5</v>
      </c>
      <c r="P22" s="155" t="n">
        <v>6998.2</v>
      </c>
      <c r="Q22" s="155" t="n">
        <f aca="false">R22+S22</f>
        <v>4604.9</v>
      </c>
      <c r="R22" s="155" t="n">
        <f aca="false">4052.6+552.3</f>
        <v>4604.9</v>
      </c>
      <c r="S22" s="167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54"/>
      <c r="B23" s="200" t="s">
        <v>32</v>
      </c>
      <c r="C23" s="200" t="s">
        <v>33</v>
      </c>
      <c r="D23" s="200" t="s">
        <v>34</v>
      </c>
      <c r="E23" s="200" t="s">
        <v>35</v>
      </c>
      <c r="F23" s="268"/>
      <c r="G23" s="146" t="s">
        <v>22</v>
      </c>
      <c r="H23" s="159" t="n">
        <v>36</v>
      </c>
      <c r="I23" s="160" t="n">
        <v>27</v>
      </c>
      <c r="J23" s="160" t="n">
        <v>43</v>
      </c>
      <c r="K23" s="161" t="n">
        <v>61298.69</v>
      </c>
      <c r="L23" s="161" t="n">
        <f aca="false">M23+N23</f>
        <v>56731.45</v>
      </c>
      <c r="M23" s="161" t="n">
        <v>56731.45</v>
      </c>
      <c r="N23" s="190"/>
      <c r="O23" s="151" t="n">
        <v>24</v>
      </c>
      <c r="P23" s="149" t="n">
        <v>51971.06</v>
      </c>
      <c r="Q23" s="149" t="n">
        <f aca="false">R23+S23</f>
        <v>51971.06</v>
      </c>
      <c r="R23" s="149" t="n">
        <v>51971.06</v>
      </c>
      <c r="S23" s="198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54"/>
      <c r="B24" s="200"/>
      <c r="C24" s="200"/>
      <c r="D24" s="200"/>
      <c r="E24" s="200"/>
      <c r="F24" s="52" t="s">
        <v>230</v>
      </c>
      <c r="G24" s="164" t="s">
        <v>23</v>
      </c>
      <c r="H24" s="172" t="n">
        <v>2</v>
      </c>
      <c r="I24" s="165" t="n">
        <v>1</v>
      </c>
      <c r="J24" s="165" t="n">
        <v>1</v>
      </c>
      <c r="K24" s="166" t="n">
        <v>704.8</v>
      </c>
      <c r="L24" s="166" t="n">
        <f aca="false">M24+N24</f>
        <v>704.8</v>
      </c>
      <c r="M24" s="166" t="n">
        <v>704.8</v>
      </c>
      <c r="N24" s="156"/>
      <c r="O24" s="157" t="n">
        <v>5</v>
      </c>
      <c r="P24" s="155" t="n">
        <v>7981.86</v>
      </c>
      <c r="Q24" s="155" t="n">
        <f aca="false">R24+S24</f>
        <v>7981.86</v>
      </c>
      <c r="R24" s="155" t="n">
        <v>7981.86</v>
      </c>
      <c r="S24" s="156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.75" hidden="false" customHeight="true" outlineLevel="0" collapsed="false">
      <c r="A25" s="17"/>
      <c r="B25" s="266" t="s">
        <v>162</v>
      </c>
      <c r="C25" s="266"/>
      <c r="D25" s="266"/>
      <c r="E25" s="266"/>
      <c r="F25" s="267"/>
      <c r="G25" s="146" t="s">
        <v>22</v>
      </c>
      <c r="H25" s="173" t="n">
        <v>31</v>
      </c>
      <c r="I25" s="148" t="n">
        <v>25</v>
      </c>
      <c r="J25" s="148" t="n">
        <v>26</v>
      </c>
      <c r="K25" s="148" t="n">
        <v>14290.11</v>
      </c>
      <c r="L25" s="149" t="n">
        <f aca="false">M25+N25</f>
        <v>10067.33</v>
      </c>
      <c r="M25" s="149" t="n">
        <v>10067.33</v>
      </c>
      <c r="N25" s="190"/>
      <c r="O25" s="151"/>
      <c r="P25" s="149"/>
      <c r="Q25" s="149" t="n">
        <f aca="false">R25+S25</f>
        <v>0</v>
      </c>
      <c r="R25" s="149"/>
      <c r="S25" s="19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5.75" hidden="false" customHeight="true" outlineLevel="0" collapsed="false">
      <c r="A26" s="17"/>
      <c r="B26" s="266"/>
      <c r="C26" s="266"/>
      <c r="D26" s="266"/>
      <c r="E26" s="266"/>
      <c r="F26" s="270"/>
      <c r="G26" s="152" t="s">
        <v>26</v>
      </c>
      <c r="H26" s="174" t="n">
        <v>12</v>
      </c>
      <c r="I26" s="154" t="n">
        <v>5</v>
      </c>
      <c r="J26" s="154" t="n">
        <v>5</v>
      </c>
      <c r="K26" s="155" t="n">
        <v>8773.6</v>
      </c>
      <c r="L26" s="155" t="n">
        <f aca="false">M26+N26</f>
        <v>7140.4</v>
      </c>
      <c r="M26" s="155" t="n">
        <f aca="false">7140.4</f>
        <v>7140.4</v>
      </c>
      <c r="N26" s="156"/>
      <c r="O26" s="157"/>
      <c r="P26" s="155"/>
      <c r="Q26" s="155" t="n">
        <f aca="false">R26+S26</f>
        <v>0</v>
      </c>
      <c r="R26" s="155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5.75" hidden="false" customHeight="true" outlineLevel="0" collapsed="false">
      <c r="A27" s="33"/>
      <c r="B27" s="188" t="s">
        <v>36</v>
      </c>
      <c r="C27" s="188" t="s">
        <v>20</v>
      </c>
      <c r="D27" s="188"/>
      <c r="E27" s="188" t="s">
        <v>25</v>
      </c>
      <c r="F27" s="268"/>
      <c r="G27" s="158" t="s">
        <v>22</v>
      </c>
      <c r="H27" s="159" t="n">
        <v>30</v>
      </c>
      <c r="I27" s="160" t="n">
        <v>29</v>
      </c>
      <c r="J27" s="160" t="n">
        <v>47</v>
      </c>
      <c r="K27" s="161" t="n">
        <v>98055.55</v>
      </c>
      <c r="L27" s="161" t="n">
        <f aca="false">M27+N27</f>
        <v>91809.04</v>
      </c>
      <c r="M27" s="161" t="n">
        <v>91809.04</v>
      </c>
      <c r="N27" s="190"/>
      <c r="O27" s="151" t="n">
        <v>9</v>
      </c>
      <c r="P27" s="149" t="n">
        <v>30370.2</v>
      </c>
      <c r="Q27" s="149" t="n">
        <f aca="false">R27+S27</f>
        <v>28995.84</v>
      </c>
      <c r="R27" s="149" t="n">
        <v>28995.84</v>
      </c>
      <c r="S27" s="198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5.75" hidden="false" customHeight="true" outlineLevel="0" collapsed="false">
      <c r="A28" s="33"/>
      <c r="B28" s="188"/>
      <c r="C28" s="188"/>
      <c r="D28" s="188"/>
      <c r="E28" s="188"/>
      <c r="F28" s="52" t="s">
        <v>163</v>
      </c>
      <c r="G28" s="164" t="s">
        <v>26</v>
      </c>
      <c r="H28" s="153" t="n">
        <v>10</v>
      </c>
      <c r="I28" s="165" t="n">
        <v>8</v>
      </c>
      <c r="J28" s="165" t="n">
        <v>8</v>
      </c>
      <c r="K28" s="166" t="n">
        <v>7041.05</v>
      </c>
      <c r="L28" s="166" t="n">
        <f aca="false">M28+N28</f>
        <v>6464.75</v>
      </c>
      <c r="M28" s="166" t="n">
        <v>6464.75</v>
      </c>
      <c r="N28" s="156"/>
      <c r="O28" s="157" t="n">
        <v>16</v>
      </c>
      <c r="P28" s="155" t="n">
        <v>39660.1</v>
      </c>
      <c r="Q28" s="155" t="n">
        <f aca="false">R28+S28</f>
        <v>40692.95</v>
      </c>
      <c r="R28" s="155" t="n">
        <v>40692.95</v>
      </c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5" hidden="false" customHeight="true" outlineLevel="0" collapsed="false">
      <c r="A29" s="17"/>
      <c r="B29" s="266" t="s">
        <v>37</v>
      </c>
      <c r="C29" s="266" t="s">
        <v>38</v>
      </c>
      <c r="D29" s="266" t="s">
        <v>39</v>
      </c>
      <c r="E29" s="266" t="s">
        <v>25</v>
      </c>
      <c r="F29" s="193"/>
      <c r="G29" s="146" t="s">
        <v>22</v>
      </c>
      <c r="H29" s="159" t="n">
        <v>1</v>
      </c>
      <c r="I29" s="148" t="n">
        <v>1</v>
      </c>
      <c r="J29" s="148" t="n">
        <v>1</v>
      </c>
      <c r="K29" s="149" t="n">
        <v>1550.56</v>
      </c>
      <c r="L29" s="149" t="n">
        <f aca="false">M29+N29</f>
        <v>1550.56</v>
      </c>
      <c r="M29" s="149" t="n">
        <v>1550.56</v>
      </c>
      <c r="N29" s="190"/>
      <c r="O29" s="151" t="n">
        <v>5</v>
      </c>
      <c r="P29" s="149" t="n">
        <v>17152.32</v>
      </c>
      <c r="Q29" s="149" t="n">
        <f aca="false">R29+S29</f>
        <v>14655.02</v>
      </c>
      <c r="R29" s="149" t="n">
        <v>14655.02</v>
      </c>
      <c r="S29" s="198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8.75" hidden="false" customHeight="true" outlineLevel="0" collapsed="false">
      <c r="A30" s="17"/>
      <c r="B30" s="266"/>
      <c r="C30" s="266"/>
      <c r="D30" s="266"/>
      <c r="E30" s="266"/>
      <c r="F30" s="52" t="s">
        <v>164</v>
      </c>
      <c r="G30" s="164" t="s">
        <v>26</v>
      </c>
      <c r="H30" s="175" t="n">
        <v>8</v>
      </c>
      <c r="I30" s="165" t="n">
        <v>2</v>
      </c>
      <c r="J30" s="165" t="n">
        <v>2</v>
      </c>
      <c r="K30" s="166" t="n">
        <v>18605.8</v>
      </c>
      <c r="L30" s="166" t="n">
        <f aca="false">M30+N30</f>
        <v>10921.8</v>
      </c>
      <c r="M30" s="166" t="n">
        <v>10921.8</v>
      </c>
      <c r="N30" s="167"/>
      <c r="O30" s="168" t="n">
        <v>17</v>
      </c>
      <c r="P30" s="166" t="n">
        <v>80694.5</v>
      </c>
      <c r="Q30" s="166" t="n">
        <f aca="false">R30+S30</f>
        <v>48516.8</v>
      </c>
      <c r="R30" s="166" t="n">
        <v>48516.8</v>
      </c>
      <c r="S30" s="167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6.5" hidden="false" customHeight="true" outlineLevel="0" collapsed="false">
      <c r="A31" s="17"/>
      <c r="B31" s="266" t="s">
        <v>291</v>
      </c>
      <c r="C31" s="266"/>
      <c r="D31" s="266"/>
      <c r="E31" s="266"/>
      <c r="F31" s="267"/>
      <c r="G31" s="146" t="s">
        <v>22</v>
      </c>
      <c r="H31" s="147"/>
      <c r="I31" s="148"/>
      <c r="J31" s="148"/>
      <c r="K31" s="149"/>
      <c r="L31" s="149" t="n">
        <f aca="false">M31+N31</f>
        <v>0</v>
      </c>
      <c r="M31" s="149"/>
      <c r="N31" s="150"/>
      <c r="O31" s="206" t="n">
        <v>1</v>
      </c>
      <c r="P31" s="149" t="n">
        <v>36290.52</v>
      </c>
      <c r="Q31" s="149" t="n">
        <f aca="false">R31+S31</f>
        <v>36290.52</v>
      </c>
      <c r="R31" s="149" t="n">
        <v>36290.52</v>
      </c>
      <c r="S31" s="150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customFormat="false" ht="16.5" hidden="false" customHeight="true" outlineLevel="0" collapsed="false">
      <c r="A32" s="17"/>
      <c r="B32" s="266"/>
      <c r="C32" s="266"/>
      <c r="D32" s="266"/>
      <c r="E32" s="266"/>
      <c r="F32" s="270"/>
      <c r="G32" s="152" t="s">
        <v>26</v>
      </c>
      <c r="H32" s="176"/>
      <c r="I32" s="154"/>
      <c r="J32" s="154"/>
      <c r="K32" s="155"/>
      <c r="L32" s="155" t="n">
        <f aca="false">M32+N32</f>
        <v>0</v>
      </c>
      <c r="M32" s="155"/>
      <c r="N32" s="156"/>
      <c r="O32" s="209"/>
      <c r="P32" s="155"/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6.5" hidden="false" customHeight="true" outlineLevel="0" collapsed="false">
      <c r="A33" s="54"/>
      <c r="B33" s="200" t="s">
        <v>153</v>
      </c>
      <c r="C33" s="200" t="s">
        <v>20</v>
      </c>
      <c r="D33" s="200"/>
      <c r="E33" s="200" t="s">
        <v>278</v>
      </c>
      <c r="F33" s="268"/>
      <c r="G33" s="158" t="s">
        <v>22</v>
      </c>
      <c r="H33" s="169" t="n">
        <v>13</v>
      </c>
      <c r="I33" s="160" t="n">
        <v>9</v>
      </c>
      <c r="J33" s="160" t="n">
        <v>14</v>
      </c>
      <c r="K33" s="161" t="n">
        <v>36553.38</v>
      </c>
      <c r="L33" s="161" t="n">
        <f aca="false">M33+N33</f>
        <v>13109.76</v>
      </c>
      <c r="M33" s="161" t="n">
        <v>13109.76</v>
      </c>
      <c r="N33" s="190"/>
      <c r="O33" s="163"/>
      <c r="P33" s="161"/>
      <c r="Q33" s="161" t="n">
        <f aca="false">R33+S33</f>
        <v>0</v>
      </c>
      <c r="R33" s="161"/>
      <c r="S33" s="190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6.5" hidden="false" customHeight="true" outlineLevel="0" collapsed="false">
      <c r="A34" s="54"/>
      <c r="B34" s="200"/>
      <c r="C34" s="200"/>
      <c r="D34" s="200"/>
      <c r="E34" s="200"/>
      <c r="F34" s="52" t="s">
        <v>231</v>
      </c>
      <c r="G34" s="164" t="s">
        <v>23</v>
      </c>
      <c r="H34" s="178" t="n">
        <v>18</v>
      </c>
      <c r="I34" s="165" t="n">
        <v>5</v>
      </c>
      <c r="J34" s="165" t="n">
        <v>5</v>
      </c>
      <c r="K34" s="166" t="n">
        <v>13175.94</v>
      </c>
      <c r="L34" s="166" t="n">
        <f aca="false">M34+N34</f>
        <v>13175.94</v>
      </c>
      <c r="M34" s="166" t="n">
        <v>13175.94</v>
      </c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6.5" hidden="false" customHeight="true" outlineLevel="0" collapsed="false">
      <c r="A35" s="17"/>
      <c r="B35" s="200" t="s">
        <v>292</v>
      </c>
      <c r="C35" s="266"/>
      <c r="D35" s="266"/>
      <c r="E35" s="266"/>
      <c r="F35" s="267"/>
      <c r="G35" s="146" t="s">
        <v>22</v>
      </c>
      <c r="H35" s="147" t="n">
        <v>5</v>
      </c>
      <c r="I35" s="148" t="n">
        <v>4</v>
      </c>
      <c r="J35" s="148" t="n">
        <v>4</v>
      </c>
      <c r="K35" s="149" t="n">
        <v>5239.19</v>
      </c>
      <c r="L35" s="149" t="n">
        <f aca="false">M35+N35</f>
        <v>2549.79</v>
      </c>
      <c r="M35" s="149" t="n">
        <v>2549.79</v>
      </c>
      <c r="N35" s="150"/>
      <c r="O35" s="206"/>
      <c r="P35" s="149"/>
      <c r="Q35" s="149" t="n">
        <f aca="false">R35+S35</f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6.5" hidden="false" customHeight="true" outlineLevel="0" collapsed="false">
      <c r="A36" s="17"/>
      <c r="B36" s="200"/>
      <c r="C36" s="200"/>
      <c r="D36" s="200"/>
      <c r="E36" s="200"/>
      <c r="F36" s="270"/>
      <c r="G36" s="152" t="s">
        <v>26</v>
      </c>
      <c r="H36" s="176"/>
      <c r="I36" s="154"/>
      <c r="J36" s="154"/>
      <c r="K36" s="155"/>
      <c r="L36" s="155" t="n">
        <f aca="false">M36+N36</f>
        <v>0</v>
      </c>
      <c r="M36" s="155"/>
      <c r="N36" s="156"/>
      <c r="O36" s="209"/>
      <c r="P36" s="155"/>
      <c r="Q36" s="155" t="n">
        <f aca="false">R36+S36</f>
        <v>0</v>
      </c>
      <c r="R36" s="155"/>
      <c r="S36" s="156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6.5" hidden="false" customHeight="true" outlineLevel="0" collapsed="false">
      <c r="A37" s="54"/>
      <c r="B37" s="200" t="s">
        <v>232</v>
      </c>
      <c r="C37" s="200"/>
      <c r="D37" s="200"/>
      <c r="E37" s="200"/>
      <c r="F37" s="268"/>
      <c r="G37" s="158" t="s">
        <v>22</v>
      </c>
      <c r="H37" s="169" t="n">
        <v>20</v>
      </c>
      <c r="I37" s="160" t="n">
        <v>17</v>
      </c>
      <c r="J37" s="160" t="n">
        <v>18</v>
      </c>
      <c r="K37" s="161" t="n">
        <v>29471.25</v>
      </c>
      <c r="L37" s="161" t="n">
        <f aca="false">M37+N37</f>
        <v>25823.31</v>
      </c>
      <c r="M37" s="161" t="n">
        <v>25823.31</v>
      </c>
      <c r="N37" s="190"/>
      <c r="O37" s="228"/>
      <c r="P37" s="161"/>
      <c r="Q37" s="161" t="n">
        <f aca="false">R37+S37</f>
        <v>0</v>
      </c>
      <c r="R37" s="161"/>
      <c r="S37" s="19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6.5" hidden="false" customHeight="true" outlineLevel="0" collapsed="false">
      <c r="A38" s="54"/>
      <c r="B38" s="200"/>
      <c r="C38" s="200"/>
      <c r="D38" s="200"/>
      <c r="E38" s="200"/>
      <c r="F38" s="218" t="s">
        <v>265</v>
      </c>
      <c r="G38" s="152" t="s">
        <v>26</v>
      </c>
      <c r="H38" s="176" t="n">
        <v>12</v>
      </c>
      <c r="I38" s="154" t="n">
        <v>10</v>
      </c>
      <c r="J38" s="154" t="n">
        <v>10</v>
      </c>
      <c r="K38" s="155" t="n">
        <v>13246.95</v>
      </c>
      <c r="L38" s="155" t="n">
        <f aca="false">M38+N38</f>
        <v>12418.5</v>
      </c>
      <c r="M38" s="155" t="n">
        <f aca="false">10301.35+1012.55+552.3+552.3</f>
        <v>12418.5</v>
      </c>
      <c r="N38" s="156"/>
      <c r="O38" s="209"/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6.5" hidden="false" customHeight="true" outlineLevel="0" collapsed="false">
      <c r="A39" s="54"/>
      <c r="B39" s="200" t="s">
        <v>40</v>
      </c>
      <c r="C39" s="200" t="s">
        <v>38</v>
      </c>
      <c r="D39" s="200" t="s">
        <v>41</v>
      </c>
      <c r="E39" s="200" t="s">
        <v>42</v>
      </c>
      <c r="F39" s="268"/>
      <c r="G39" s="158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90"/>
      <c r="O39" s="163"/>
      <c r="P39" s="161"/>
      <c r="Q39" s="161" t="n">
        <f aca="false">R39+S39</f>
        <v>0</v>
      </c>
      <c r="R39" s="161"/>
      <c r="S39" s="190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6.5" hidden="false" customHeight="true" outlineLevel="0" collapsed="false">
      <c r="A40" s="54"/>
      <c r="B40" s="200"/>
      <c r="C40" s="200"/>
      <c r="D40" s="200"/>
      <c r="E40" s="200"/>
      <c r="F40" s="270"/>
      <c r="G40" s="152" t="s">
        <v>23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67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.75" hidden="false" customHeight="true" outlineLevel="0" collapsed="false">
      <c r="A41" s="54"/>
      <c r="B41" s="200" t="s">
        <v>43</v>
      </c>
      <c r="C41" s="200" t="s">
        <v>33</v>
      </c>
      <c r="D41" s="200" t="s">
        <v>44</v>
      </c>
      <c r="E41" s="200" t="s">
        <v>45</v>
      </c>
      <c r="F41" s="268"/>
      <c r="G41" s="146" t="s">
        <v>22</v>
      </c>
      <c r="H41" s="159" t="n">
        <v>15</v>
      </c>
      <c r="I41" s="160" t="n">
        <v>15</v>
      </c>
      <c r="J41" s="160" t="n">
        <v>25</v>
      </c>
      <c r="K41" s="161" t="n">
        <v>47695.55</v>
      </c>
      <c r="L41" s="161" t="n">
        <f aca="false">M41+N41</f>
        <v>47695.55</v>
      </c>
      <c r="M41" s="161" t="n">
        <v>47695.55</v>
      </c>
      <c r="N41" s="190"/>
      <c r="O41" s="151" t="n">
        <v>19</v>
      </c>
      <c r="P41" s="149" t="n">
        <v>136760.68</v>
      </c>
      <c r="Q41" s="149" t="n">
        <f aca="false">R41+S41</f>
        <v>133840.43</v>
      </c>
      <c r="R41" s="149" t="n">
        <v>133840.43</v>
      </c>
      <c r="S41" s="198"/>
      <c r="T41" s="2"/>
      <c r="U41" s="70"/>
      <c r="V41" s="70"/>
      <c r="W41" s="70"/>
      <c r="X41" s="70"/>
      <c r="Y41" s="70"/>
      <c r="Z41" s="70"/>
      <c r="AA41" s="70"/>
      <c r="AB41" s="70"/>
      <c r="AC41" s="70"/>
    </row>
    <row r="42" customFormat="false" ht="15.75" hidden="false" customHeight="true" outlineLevel="0" collapsed="false">
      <c r="A42" s="54"/>
      <c r="B42" s="200"/>
      <c r="C42" s="200"/>
      <c r="D42" s="200"/>
      <c r="E42" s="200"/>
      <c r="F42" s="218" t="s">
        <v>165</v>
      </c>
      <c r="G42" s="152" t="s">
        <v>26</v>
      </c>
      <c r="H42" s="153" t="n">
        <v>3</v>
      </c>
      <c r="I42" s="154" t="n">
        <v>3</v>
      </c>
      <c r="J42" s="154" t="n">
        <v>3</v>
      </c>
      <c r="K42" s="155" t="n">
        <v>6774.6</v>
      </c>
      <c r="L42" s="155" t="n">
        <f aca="false">M42+N42</f>
        <v>6774.6</v>
      </c>
      <c r="M42" s="155" t="n">
        <f aca="false">4933.6+1841</f>
        <v>6774.6</v>
      </c>
      <c r="N42" s="156"/>
      <c r="O42" s="157" t="n">
        <v>5</v>
      </c>
      <c r="P42" s="155" t="n">
        <v>14800.8</v>
      </c>
      <c r="Q42" s="155" t="n">
        <f aca="false">R42+S42</f>
        <v>14800.8</v>
      </c>
      <c r="R42" s="155" t="n">
        <f aca="false">53.85+11399.15+3347.8</f>
        <v>14800.8</v>
      </c>
      <c r="S42" s="156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33"/>
      <c r="B43" s="188" t="s">
        <v>46</v>
      </c>
      <c r="C43" s="188" t="s">
        <v>20</v>
      </c>
      <c r="D43" s="188"/>
      <c r="E43" s="188" t="s">
        <v>25</v>
      </c>
      <c r="F43" s="268"/>
      <c r="G43" s="146" t="s">
        <v>22</v>
      </c>
      <c r="H43" s="159" t="n">
        <v>29</v>
      </c>
      <c r="I43" s="160" t="n">
        <v>25</v>
      </c>
      <c r="J43" s="160" t="n">
        <v>37</v>
      </c>
      <c r="K43" s="161" t="n">
        <v>70061.87</v>
      </c>
      <c r="L43" s="161" t="n">
        <f aca="false">M43+N43</f>
        <v>52986.66</v>
      </c>
      <c r="M43" s="161" t="n">
        <v>52986.66</v>
      </c>
      <c r="N43" s="190"/>
      <c r="O43" s="151" t="n">
        <v>19</v>
      </c>
      <c r="P43" s="149" t="n">
        <v>92880.85</v>
      </c>
      <c r="Q43" s="149" t="n">
        <f aca="false">R43+S43</f>
        <v>56737.45</v>
      </c>
      <c r="R43" s="149" t="n">
        <v>56737.45</v>
      </c>
      <c r="S43" s="198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.75" hidden="false" customHeight="true" outlineLevel="0" collapsed="false">
      <c r="A44" s="33"/>
      <c r="B44" s="188"/>
      <c r="C44" s="188"/>
      <c r="D44" s="188"/>
      <c r="E44" s="188"/>
      <c r="F44" s="272"/>
      <c r="G44" s="164" t="s">
        <v>26</v>
      </c>
      <c r="H44" s="153"/>
      <c r="I44" s="165"/>
      <c r="J44" s="165"/>
      <c r="K44" s="166"/>
      <c r="L44" s="166" t="n">
        <f aca="false">M44+N44</f>
        <v>0</v>
      </c>
      <c r="M44" s="166"/>
      <c r="N44" s="156"/>
      <c r="O44" s="157"/>
      <c r="P44" s="155"/>
      <c r="Q44" s="149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.75" hidden="false" customHeight="true" outlineLevel="0" collapsed="false">
      <c r="A45" s="72"/>
      <c r="B45" s="196" t="s">
        <v>47</v>
      </c>
      <c r="C45" s="196" t="s">
        <v>20</v>
      </c>
      <c r="D45" s="196" t="s">
        <v>166</v>
      </c>
      <c r="E45" s="273" t="s">
        <v>25</v>
      </c>
      <c r="F45" s="193"/>
      <c r="G45" s="146" t="s">
        <v>22</v>
      </c>
      <c r="H45" s="159" t="n">
        <v>7</v>
      </c>
      <c r="I45" s="148" t="n">
        <v>7</v>
      </c>
      <c r="J45" s="148" t="n">
        <v>7</v>
      </c>
      <c r="K45" s="149" t="n">
        <v>9217</v>
      </c>
      <c r="L45" s="149" t="n">
        <f aca="false">M45+N45</f>
        <v>9217</v>
      </c>
      <c r="M45" s="149" t="n">
        <v>9217</v>
      </c>
      <c r="N45" s="190"/>
      <c r="O45" s="151" t="n">
        <v>4</v>
      </c>
      <c r="P45" s="149" t="n">
        <v>12992.75</v>
      </c>
      <c r="Q45" s="149" t="n">
        <f aca="false">R45+S45</f>
        <v>12992.75</v>
      </c>
      <c r="R45" s="149" t="n">
        <v>12992.75</v>
      </c>
      <c r="S45" s="190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72"/>
      <c r="B46" s="196"/>
      <c r="C46" s="196"/>
      <c r="D46" s="196"/>
      <c r="E46" s="273"/>
      <c r="F46" s="52" t="s">
        <v>167</v>
      </c>
      <c r="G46" s="164" t="s">
        <v>26</v>
      </c>
      <c r="H46" s="172" t="n">
        <v>5</v>
      </c>
      <c r="I46" s="165" t="n">
        <v>2</v>
      </c>
      <c r="J46" s="165" t="n">
        <v>2</v>
      </c>
      <c r="K46" s="166" t="n">
        <v>4418.4</v>
      </c>
      <c r="L46" s="166" t="n">
        <f aca="false">M46+N46</f>
        <v>4418.4</v>
      </c>
      <c r="M46" s="166" t="n">
        <f aca="false">2209.2+2209.2</f>
        <v>4418.4</v>
      </c>
      <c r="N46" s="156"/>
      <c r="O46" s="168" t="n">
        <v>8</v>
      </c>
      <c r="P46" s="166" t="n">
        <v>36186.09</v>
      </c>
      <c r="Q46" s="149" t="n">
        <f aca="false">R46+S46</f>
        <v>38764.4</v>
      </c>
      <c r="R46" s="166" t="n">
        <v>38764.4</v>
      </c>
      <c r="S46" s="167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.75" hidden="false" customHeight="true" outlineLevel="0" collapsed="false">
      <c r="A47" s="17"/>
      <c r="B47" s="266" t="s">
        <v>48</v>
      </c>
      <c r="C47" s="266" t="s">
        <v>20</v>
      </c>
      <c r="D47" s="266" t="s">
        <v>168</v>
      </c>
      <c r="E47" s="266" t="s">
        <v>25</v>
      </c>
      <c r="F47" s="267"/>
      <c r="G47" s="146" t="s">
        <v>22</v>
      </c>
      <c r="H47" s="147" t="n">
        <v>6</v>
      </c>
      <c r="I47" s="148" t="n">
        <v>2</v>
      </c>
      <c r="J47" s="148" t="n">
        <v>2</v>
      </c>
      <c r="K47" s="149" t="n">
        <v>6630.21</v>
      </c>
      <c r="L47" s="149" t="n">
        <f aca="false">M47+N47</f>
        <v>6630.21</v>
      </c>
      <c r="M47" s="149" t="n">
        <v>6630.21</v>
      </c>
      <c r="N47" s="190"/>
      <c r="O47" s="151" t="n">
        <v>5</v>
      </c>
      <c r="P47" s="149" t="n">
        <v>19746.36</v>
      </c>
      <c r="Q47" s="149" t="n">
        <f aca="false">R47+S47</f>
        <v>19746.36</v>
      </c>
      <c r="R47" s="149" t="n">
        <v>19746.36</v>
      </c>
      <c r="S47" s="198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17"/>
      <c r="B48" s="266"/>
      <c r="C48" s="266"/>
      <c r="D48" s="266"/>
      <c r="E48" s="266"/>
      <c r="F48" s="218" t="s">
        <v>169</v>
      </c>
      <c r="G48" s="152" t="s">
        <v>26</v>
      </c>
      <c r="H48" s="176" t="n">
        <v>13</v>
      </c>
      <c r="I48" s="154" t="n">
        <v>8</v>
      </c>
      <c r="J48" s="154" t="n">
        <v>8</v>
      </c>
      <c r="K48" s="155" t="n">
        <v>19311.05</v>
      </c>
      <c r="L48" s="155" t="n">
        <f aca="false">M48+N48</f>
        <v>11721.05</v>
      </c>
      <c r="M48" s="155" t="n">
        <f aca="false">5885.08+1104.6+3313.8+1417.57</f>
        <v>11721.05</v>
      </c>
      <c r="N48" s="156"/>
      <c r="O48" s="157" t="n">
        <v>9</v>
      </c>
      <c r="P48" s="155" t="n">
        <v>18952.33</v>
      </c>
      <c r="Q48" s="155" t="n">
        <f aca="false">R48+S48</f>
        <v>23738.93</v>
      </c>
      <c r="R48" s="155" t="n">
        <f aca="false">16697.1+966.53+1288.7+2945.6+1841</f>
        <v>23738.93</v>
      </c>
      <c r="S48" s="156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" hidden="false" customHeight="true" outlineLevel="0" collapsed="false">
      <c r="A49" s="54"/>
      <c r="B49" s="200" t="s">
        <v>49</v>
      </c>
      <c r="C49" s="200" t="s">
        <v>20</v>
      </c>
      <c r="D49" s="274"/>
      <c r="E49" s="200" t="s">
        <v>50</v>
      </c>
      <c r="F49" s="268"/>
      <c r="G49" s="146" t="s">
        <v>22</v>
      </c>
      <c r="H49" s="169"/>
      <c r="I49" s="160"/>
      <c r="J49" s="160"/>
      <c r="K49" s="161"/>
      <c r="L49" s="161" t="n">
        <f aca="false">M49+N49</f>
        <v>0</v>
      </c>
      <c r="M49" s="161"/>
      <c r="N49" s="190"/>
      <c r="O49" s="163"/>
      <c r="P49" s="161"/>
      <c r="Q49" s="161" t="n">
        <f aca="false">R49+S49</f>
        <v>0</v>
      </c>
      <c r="R49" s="161"/>
      <c r="S49" s="19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54"/>
      <c r="B50" s="200"/>
      <c r="C50" s="200"/>
      <c r="D50" s="200"/>
      <c r="E50" s="200"/>
      <c r="F50" s="270"/>
      <c r="G50" s="152" t="s">
        <v>26</v>
      </c>
      <c r="H50" s="153"/>
      <c r="I50" s="154"/>
      <c r="J50" s="154"/>
      <c r="K50" s="155"/>
      <c r="L50" s="155" t="n">
        <f aca="false">M50+N50</f>
        <v>0</v>
      </c>
      <c r="M50" s="155"/>
      <c r="N50" s="156"/>
      <c r="O50" s="157"/>
      <c r="P50" s="155"/>
      <c r="Q50" s="155" t="n">
        <f aca="false">R50+S50</f>
        <v>0</v>
      </c>
      <c r="R50" s="155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33"/>
      <c r="B51" s="188" t="s">
        <v>51</v>
      </c>
      <c r="C51" s="188" t="s">
        <v>20</v>
      </c>
      <c r="D51" s="188"/>
      <c r="E51" s="188" t="s">
        <v>52</v>
      </c>
      <c r="F51" s="268"/>
      <c r="G51" s="146" t="s">
        <v>22</v>
      </c>
      <c r="H51" s="169" t="n">
        <v>8</v>
      </c>
      <c r="I51" s="160" t="n">
        <v>6</v>
      </c>
      <c r="J51" s="160" t="n">
        <v>10</v>
      </c>
      <c r="K51" s="161" t="n">
        <v>14680.11</v>
      </c>
      <c r="L51" s="161" t="n">
        <f aca="false">M51+N51</f>
        <v>12825.23</v>
      </c>
      <c r="M51" s="161" t="n">
        <v>12825.23</v>
      </c>
      <c r="N51" s="190"/>
      <c r="O51" s="151" t="n">
        <v>3</v>
      </c>
      <c r="P51" s="149" t="n">
        <v>9820.51</v>
      </c>
      <c r="Q51" s="149" t="n">
        <f aca="false">R51+S51</f>
        <v>9820.51</v>
      </c>
      <c r="R51" s="149" t="n">
        <v>9820.51</v>
      </c>
      <c r="S51" s="198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.75" hidden="false" customHeight="true" outlineLevel="0" collapsed="false">
      <c r="A52" s="33"/>
      <c r="B52" s="188"/>
      <c r="C52" s="188"/>
      <c r="D52" s="188"/>
      <c r="E52" s="188"/>
      <c r="F52" s="272"/>
      <c r="G52" s="164" t="s">
        <v>26</v>
      </c>
      <c r="H52" s="175"/>
      <c r="I52" s="165"/>
      <c r="J52" s="165"/>
      <c r="K52" s="166"/>
      <c r="L52" s="166" t="n">
        <f aca="false">M52+N52</f>
        <v>0</v>
      </c>
      <c r="M52" s="166"/>
      <c r="N52" s="156"/>
      <c r="O52" s="157"/>
      <c r="P52" s="155"/>
      <c r="Q52" s="155" t="n">
        <f aca="false">R52+S52</f>
        <v>0</v>
      </c>
      <c r="R52" s="155"/>
      <c r="S52" s="156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266" t="s">
        <v>154</v>
      </c>
      <c r="C53" s="266"/>
      <c r="D53" s="266" t="s">
        <v>170</v>
      </c>
      <c r="E53" s="266"/>
      <c r="F53" s="267"/>
      <c r="G53" s="146" t="s">
        <v>22</v>
      </c>
      <c r="H53" s="173" t="n">
        <v>63</v>
      </c>
      <c r="I53" s="148" t="n">
        <v>58</v>
      </c>
      <c r="J53" s="148" t="n">
        <v>61</v>
      </c>
      <c r="K53" s="149" t="n">
        <v>89608.71</v>
      </c>
      <c r="L53" s="149" t="n">
        <f aca="false">M53+N53</f>
        <v>87003.69</v>
      </c>
      <c r="M53" s="149" t="n">
        <v>87003.69</v>
      </c>
      <c r="N53" s="190"/>
      <c r="O53" s="151"/>
      <c r="P53" s="149"/>
      <c r="Q53" s="149" t="n">
        <f aca="false">R53+S53</f>
        <v>0</v>
      </c>
      <c r="R53" s="149"/>
      <c r="S53" s="19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266"/>
      <c r="C54" s="266"/>
      <c r="D54" s="266"/>
      <c r="E54" s="266"/>
      <c r="F54" s="218" t="s">
        <v>171</v>
      </c>
      <c r="G54" s="152" t="s">
        <v>26</v>
      </c>
      <c r="H54" s="174" t="n">
        <v>9</v>
      </c>
      <c r="I54" s="154" t="n">
        <v>5</v>
      </c>
      <c r="J54" s="154" t="n">
        <v>5</v>
      </c>
      <c r="K54" s="155" t="n">
        <v>19355.9</v>
      </c>
      <c r="L54" s="155" t="n">
        <f aca="false">M54+N54</f>
        <v>13007.9</v>
      </c>
      <c r="M54" s="155" t="n">
        <f aca="false">13007.9</f>
        <v>13007.9</v>
      </c>
      <c r="N54" s="156"/>
      <c r="O54" s="157"/>
      <c r="P54" s="155"/>
      <c r="Q54" s="155" t="n">
        <f aca="false">R54+S54</f>
        <v>0</v>
      </c>
      <c r="R54" s="155"/>
      <c r="S54" s="167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54"/>
      <c r="B55" s="200" t="s">
        <v>53</v>
      </c>
      <c r="C55" s="200" t="s">
        <v>33</v>
      </c>
      <c r="D55" s="200" t="s">
        <v>54</v>
      </c>
      <c r="E55" s="200" t="s">
        <v>42</v>
      </c>
      <c r="F55" s="268"/>
      <c r="G55" s="158" t="s">
        <v>22</v>
      </c>
      <c r="H55" s="159" t="n">
        <v>44</v>
      </c>
      <c r="I55" s="160" t="n">
        <v>41</v>
      </c>
      <c r="J55" s="160" t="n">
        <v>62</v>
      </c>
      <c r="K55" s="161" t="n">
        <v>113966.91</v>
      </c>
      <c r="L55" s="161" t="n">
        <f aca="false">M55+N55</f>
        <v>74435.85</v>
      </c>
      <c r="M55" s="161" t="n">
        <v>74435.85</v>
      </c>
      <c r="N55" s="190"/>
      <c r="O55" s="151" t="n">
        <v>22</v>
      </c>
      <c r="P55" s="149" t="n">
        <v>82722.68</v>
      </c>
      <c r="Q55" s="149" t="n">
        <f aca="false">R55+S55</f>
        <v>81841.68</v>
      </c>
      <c r="R55" s="149" t="n">
        <v>81841.68</v>
      </c>
      <c r="S55" s="198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54"/>
      <c r="B56" s="200"/>
      <c r="C56" s="200"/>
      <c r="D56" s="200"/>
      <c r="E56" s="200"/>
      <c r="F56" s="270"/>
      <c r="G56" s="152" t="s">
        <v>23</v>
      </c>
      <c r="H56" s="153"/>
      <c r="I56" s="154"/>
      <c r="J56" s="154"/>
      <c r="K56" s="155"/>
      <c r="L56" s="155" t="n">
        <f aca="false">M56+N56</f>
        <v>0</v>
      </c>
      <c r="M56" s="155"/>
      <c r="N56" s="156"/>
      <c r="O56" s="157"/>
      <c r="P56" s="155"/>
      <c r="Q56" s="155" t="n">
        <f aca="false">R56+S56</f>
        <v>0</v>
      </c>
      <c r="R56" s="155"/>
      <c r="S56" s="156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33"/>
      <c r="B57" s="188" t="s">
        <v>55</v>
      </c>
      <c r="C57" s="188" t="s">
        <v>20</v>
      </c>
      <c r="D57" s="188"/>
      <c r="E57" s="188" t="s">
        <v>25</v>
      </c>
      <c r="F57" s="192"/>
      <c r="G57" s="146" t="s">
        <v>22</v>
      </c>
      <c r="H57" s="169" t="n">
        <v>14</v>
      </c>
      <c r="I57" s="160" t="n">
        <v>11</v>
      </c>
      <c r="J57" s="160" t="n">
        <v>14</v>
      </c>
      <c r="K57" s="161" t="n">
        <v>33010.89</v>
      </c>
      <c r="L57" s="161" t="n">
        <f aca="false">M57+N57</f>
        <v>29341.08</v>
      </c>
      <c r="M57" s="161" t="n">
        <v>29341.08</v>
      </c>
      <c r="N57" s="190"/>
      <c r="O57" s="163" t="n">
        <v>4</v>
      </c>
      <c r="P57" s="161" t="n">
        <v>20218.72</v>
      </c>
      <c r="Q57" s="161" t="n">
        <f aca="false">R57+S57</f>
        <v>20218.72</v>
      </c>
      <c r="R57" s="161" t="n">
        <v>20218.72</v>
      </c>
      <c r="S57" s="19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.75" hidden="false" customHeight="true" outlineLevel="0" collapsed="false">
      <c r="A58" s="33"/>
      <c r="B58" s="188"/>
      <c r="C58" s="188"/>
      <c r="D58" s="188"/>
      <c r="E58" s="188"/>
      <c r="F58" s="52" t="s">
        <v>172</v>
      </c>
      <c r="G58" s="164" t="s">
        <v>26</v>
      </c>
      <c r="H58" s="172" t="n">
        <v>8</v>
      </c>
      <c r="I58" s="165" t="n">
        <v>2</v>
      </c>
      <c r="J58" s="165" t="n">
        <v>2</v>
      </c>
      <c r="K58" s="166" t="n">
        <v>10611.99</v>
      </c>
      <c r="L58" s="189" t="n">
        <f aca="false">M58+N58</f>
        <v>8789.4</v>
      </c>
      <c r="M58" s="166" t="n">
        <v>8789.4</v>
      </c>
      <c r="N58" s="167"/>
      <c r="O58" s="168" t="n">
        <v>11</v>
      </c>
      <c r="P58" s="166" t="n">
        <v>33429.49</v>
      </c>
      <c r="Q58" s="189" t="n">
        <f aca="false">R58+S58</f>
        <v>36503.09</v>
      </c>
      <c r="R58" s="166" t="n">
        <v>36503.09</v>
      </c>
      <c r="S58" s="167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.75" hidden="false" customHeight="true" outlineLevel="0" collapsed="false">
      <c r="A59" s="17"/>
      <c r="B59" s="266" t="s">
        <v>295</v>
      </c>
      <c r="C59" s="266"/>
      <c r="D59" s="266"/>
      <c r="E59" s="266" t="s">
        <v>25</v>
      </c>
      <c r="F59" s="267"/>
      <c r="G59" s="146" t="s">
        <v>22</v>
      </c>
      <c r="H59" s="173" t="n">
        <v>10</v>
      </c>
      <c r="I59" s="148" t="n">
        <v>10</v>
      </c>
      <c r="J59" s="148" t="n">
        <v>17</v>
      </c>
      <c r="K59" s="149" t="n">
        <v>41033.31</v>
      </c>
      <c r="L59" s="149" t="n">
        <f aca="false">M59+N59</f>
        <v>27453.29</v>
      </c>
      <c r="M59" s="149" t="n">
        <v>27453.29</v>
      </c>
      <c r="N59" s="150"/>
      <c r="O59" s="206"/>
      <c r="P59" s="149"/>
      <c r="Q59" s="149" t="n">
        <f aca="false">R59+S59</f>
        <v>0</v>
      </c>
      <c r="R59" s="149"/>
      <c r="S59" s="150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17"/>
      <c r="B60" s="266"/>
      <c r="C60" s="266"/>
      <c r="D60" s="266"/>
      <c r="E60" s="266"/>
      <c r="F60" s="270"/>
      <c r="G60" s="152" t="s">
        <v>26</v>
      </c>
      <c r="H60" s="174"/>
      <c r="I60" s="154"/>
      <c r="J60" s="154"/>
      <c r="K60" s="155"/>
      <c r="L60" s="155" t="n">
        <f aca="false">M60+N60</f>
        <v>0</v>
      </c>
      <c r="M60" s="155"/>
      <c r="N60" s="156"/>
      <c r="O60" s="209"/>
      <c r="P60" s="155"/>
      <c r="Q60" s="155" t="n">
        <f aca="false">R60+S60</f>
        <v>0</v>
      </c>
      <c r="R60" s="155"/>
      <c r="S60" s="156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.75" hidden="false" customHeight="true" outlineLevel="0" collapsed="false">
      <c r="A61" s="54"/>
      <c r="B61" s="200" t="s">
        <v>56</v>
      </c>
      <c r="C61" s="200" t="s">
        <v>33</v>
      </c>
      <c r="D61" s="200" t="s">
        <v>57</v>
      </c>
      <c r="E61" s="200" t="s">
        <v>25</v>
      </c>
      <c r="F61" s="268"/>
      <c r="G61" s="158" t="s">
        <v>22</v>
      </c>
      <c r="H61" s="159" t="n">
        <v>18</v>
      </c>
      <c r="I61" s="160" t="n">
        <v>1</v>
      </c>
      <c r="J61" s="160" t="n">
        <v>1</v>
      </c>
      <c r="K61" s="161" t="n">
        <v>384.2</v>
      </c>
      <c r="L61" s="161" t="n">
        <f aca="false">M61+N61</f>
        <v>0</v>
      </c>
      <c r="M61" s="161"/>
      <c r="N61" s="190"/>
      <c r="O61" s="163" t="n">
        <v>11</v>
      </c>
      <c r="P61" s="161" t="n">
        <v>43131.21</v>
      </c>
      <c r="Q61" s="161" t="n">
        <f aca="false">R61+S61</f>
        <v>43131.21</v>
      </c>
      <c r="R61" s="161" t="n">
        <v>43131.21</v>
      </c>
      <c r="S61" s="19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54"/>
      <c r="B62" s="200"/>
      <c r="C62" s="200"/>
      <c r="D62" s="200"/>
      <c r="E62" s="200"/>
      <c r="F62" s="52"/>
      <c r="G62" s="164" t="s">
        <v>26</v>
      </c>
      <c r="H62" s="175" t="n">
        <v>7</v>
      </c>
      <c r="I62" s="165" t="n">
        <v>5</v>
      </c>
      <c r="J62" s="165" t="n">
        <v>5</v>
      </c>
      <c r="K62" s="166" t="n">
        <v>8836.8</v>
      </c>
      <c r="L62" s="166" t="n">
        <f aca="false">M62+N62</f>
        <v>9757.3</v>
      </c>
      <c r="M62" s="166" t="n">
        <v>9757.3</v>
      </c>
      <c r="N62" s="156"/>
      <c r="O62" s="168" t="n">
        <v>10</v>
      </c>
      <c r="P62" s="166" t="n">
        <v>4249</v>
      </c>
      <c r="Q62" s="166" t="n">
        <f aca="false">R62+S62</f>
        <v>22566.95</v>
      </c>
      <c r="R62" s="166" t="n">
        <v>22566.95</v>
      </c>
      <c r="S62" s="156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" hidden="false" customHeight="true" outlineLevel="0" collapsed="false">
      <c r="A63" s="17"/>
      <c r="B63" s="266" t="s">
        <v>266</v>
      </c>
      <c r="C63" s="266" t="s">
        <v>20</v>
      </c>
      <c r="D63" s="266"/>
      <c r="E63" s="266" t="s">
        <v>267</v>
      </c>
      <c r="F63" s="267"/>
      <c r="G63" s="146" t="s">
        <v>22</v>
      </c>
      <c r="H63" s="173" t="n">
        <v>15</v>
      </c>
      <c r="I63" s="148" t="n">
        <v>8</v>
      </c>
      <c r="J63" s="148" t="n">
        <v>8</v>
      </c>
      <c r="K63" s="149" t="n">
        <v>4296.12</v>
      </c>
      <c r="L63" s="149" t="n">
        <f aca="false">M63+N63</f>
        <v>4296.12</v>
      </c>
      <c r="M63" s="149" t="n">
        <v>4296.12</v>
      </c>
      <c r="N63" s="190"/>
      <c r="O63" s="206"/>
      <c r="P63" s="149"/>
      <c r="Q63" s="149" t="n">
        <f aca="false">R63+S63</f>
        <v>0</v>
      </c>
      <c r="R63" s="149"/>
      <c r="S63" s="19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" hidden="false" customHeight="false" outlineLevel="0" collapsed="false">
      <c r="A64" s="17"/>
      <c r="B64" s="266"/>
      <c r="C64" s="266"/>
      <c r="D64" s="266"/>
      <c r="E64" s="266"/>
      <c r="F64" s="218" t="s">
        <v>268</v>
      </c>
      <c r="G64" s="152" t="s">
        <v>26</v>
      </c>
      <c r="H64" s="174" t="n">
        <v>10</v>
      </c>
      <c r="I64" s="154" t="n">
        <v>5</v>
      </c>
      <c r="J64" s="154" t="n">
        <v>5</v>
      </c>
      <c r="K64" s="155" t="n">
        <v>7403.15</v>
      </c>
      <c r="L64" s="155" t="n">
        <f aca="false">M64+N64</f>
        <v>7403.15</v>
      </c>
      <c r="M64" s="155" t="n">
        <f aca="false">5286+1564.85+552.3</f>
        <v>7403.15</v>
      </c>
      <c r="N64" s="156"/>
      <c r="O64" s="209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" hidden="false" customHeight="true" outlineLevel="0" collapsed="false">
      <c r="A65" s="54"/>
      <c r="B65" s="200" t="s">
        <v>155</v>
      </c>
      <c r="C65" s="200"/>
      <c r="D65" s="200"/>
      <c r="E65" s="200"/>
      <c r="F65" s="268"/>
      <c r="G65" s="158" t="s">
        <v>22</v>
      </c>
      <c r="H65" s="159" t="n">
        <v>17</v>
      </c>
      <c r="I65" s="160" t="n">
        <v>17</v>
      </c>
      <c r="J65" s="160" t="n">
        <v>21</v>
      </c>
      <c r="K65" s="161" t="n">
        <v>38767.8</v>
      </c>
      <c r="L65" s="161" t="n">
        <f aca="false">M65+N65</f>
        <v>38767.8</v>
      </c>
      <c r="M65" s="161" t="n">
        <v>38767.8</v>
      </c>
      <c r="N65" s="190"/>
      <c r="O65" s="163"/>
      <c r="P65" s="161"/>
      <c r="Q65" s="161" t="n">
        <f aca="false">R65+S65</f>
        <v>0</v>
      </c>
      <c r="R65" s="161"/>
      <c r="S65" s="190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" hidden="false" customHeight="false" outlineLevel="0" collapsed="false">
      <c r="A66" s="54"/>
      <c r="B66" s="200"/>
      <c r="C66" s="200"/>
      <c r="D66" s="200"/>
      <c r="E66" s="200"/>
      <c r="F66" s="272"/>
      <c r="G66" s="164" t="s">
        <v>26</v>
      </c>
      <c r="H66" s="177"/>
      <c r="I66" s="165"/>
      <c r="J66" s="165"/>
      <c r="K66" s="166"/>
      <c r="L66" s="166" t="n">
        <f aca="false">M66+N66</f>
        <v>0</v>
      </c>
      <c r="M66" s="166"/>
      <c r="N66" s="156"/>
      <c r="O66" s="168"/>
      <c r="P66" s="166"/>
      <c r="Q66" s="166" t="n">
        <f aca="false">R66+S66</f>
        <v>0</v>
      </c>
      <c r="R66" s="166"/>
      <c r="S66" s="156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" hidden="false" customHeight="true" outlineLevel="0" collapsed="false">
      <c r="A67" s="17"/>
      <c r="B67" s="266" t="s">
        <v>221</v>
      </c>
      <c r="C67" s="266" t="s">
        <v>20</v>
      </c>
      <c r="D67" s="266"/>
      <c r="E67" s="266" t="s">
        <v>278</v>
      </c>
      <c r="F67" s="267"/>
      <c r="G67" s="146" t="s">
        <v>22</v>
      </c>
      <c r="H67" s="173" t="n">
        <v>12</v>
      </c>
      <c r="I67" s="148" t="n">
        <v>11</v>
      </c>
      <c r="J67" s="148" t="n">
        <v>15</v>
      </c>
      <c r="K67" s="149" t="n">
        <v>31092.44</v>
      </c>
      <c r="L67" s="149" t="n">
        <f aca="false">M67+N67</f>
        <v>29586.57</v>
      </c>
      <c r="M67" s="149" t="n">
        <v>29586.57</v>
      </c>
      <c r="N67" s="190"/>
      <c r="O67" s="151"/>
      <c r="P67" s="149"/>
      <c r="Q67" s="149" t="n">
        <f aca="false">R67+S67</f>
        <v>0</v>
      </c>
      <c r="R67" s="149"/>
      <c r="S67" s="19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" hidden="false" customHeight="false" outlineLevel="0" collapsed="false">
      <c r="A68" s="17"/>
      <c r="B68" s="266"/>
      <c r="C68" s="266"/>
      <c r="D68" s="266"/>
      <c r="E68" s="266"/>
      <c r="F68" s="218" t="s">
        <v>233</v>
      </c>
      <c r="G68" s="152" t="s">
        <v>23</v>
      </c>
      <c r="H68" s="174" t="n">
        <v>12</v>
      </c>
      <c r="I68" s="154" t="n">
        <v>7</v>
      </c>
      <c r="J68" s="154" t="n">
        <v>7</v>
      </c>
      <c r="K68" s="155" t="n">
        <v>5500.65</v>
      </c>
      <c r="L68" s="155" t="n">
        <v>5500.65</v>
      </c>
      <c r="M68" s="155" t="n">
        <v>5500.65</v>
      </c>
      <c r="N68" s="156"/>
      <c r="O68" s="157"/>
      <c r="P68" s="155"/>
      <c r="Q68" s="155" t="n">
        <f aca="false">R68+S68</f>
        <v>0</v>
      </c>
      <c r="R68" s="155"/>
      <c r="S68" s="156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33"/>
      <c r="B69" s="188" t="s">
        <v>58</v>
      </c>
      <c r="C69" s="188" t="s">
        <v>20</v>
      </c>
      <c r="D69" s="188"/>
      <c r="E69" s="188" t="s">
        <v>52</v>
      </c>
      <c r="F69" s="268"/>
      <c r="G69" s="158" t="s">
        <v>22</v>
      </c>
      <c r="H69" s="159" t="n">
        <v>18</v>
      </c>
      <c r="I69" s="160" t="n">
        <v>12</v>
      </c>
      <c r="J69" s="160" t="n">
        <v>19</v>
      </c>
      <c r="K69" s="161" t="n">
        <v>31651</v>
      </c>
      <c r="L69" s="161" t="n">
        <f aca="false">M69+N69</f>
        <v>31651</v>
      </c>
      <c r="M69" s="161" t="n">
        <v>31651</v>
      </c>
      <c r="N69" s="190"/>
      <c r="O69" s="163" t="n">
        <v>12</v>
      </c>
      <c r="P69" s="161" t="n">
        <v>66383.26</v>
      </c>
      <c r="Q69" s="161" t="n">
        <f aca="false">R69+S69</f>
        <v>66383.26</v>
      </c>
      <c r="R69" s="161" t="n">
        <v>66383.26</v>
      </c>
      <c r="S69" s="19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33"/>
      <c r="B70" s="188"/>
      <c r="C70" s="188"/>
      <c r="D70" s="188"/>
      <c r="E70" s="188"/>
      <c r="F70" s="272"/>
      <c r="G70" s="164" t="s">
        <v>26</v>
      </c>
      <c r="H70" s="175"/>
      <c r="I70" s="165"/>
      <c r="J70" s="165"/>
      <c r="K70" s="166"/>
      <c r="L70" s="166" t="n">
        <f aca="false">M70+N70</f>
        <v>0</v>
      </c>
      <c r="M70" s="166"/>
      <c r="N70" s="156"/>
      <c r="O70" s="168"/>
      <c r="P70" s="166"/>
      <c r="Q70" s="166" t="n">
        <f aca="false">R70+S70</f>
        <v>0</v>
      </c>
      <c r="R70" s="166"/>
      <c r="S70" s="156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" hidden="false" customHeight="true" outlineLevel="0" collapsed="false">
      <c r="A71" s="17"/>
      <c r="B71" s="266" t="s">
        <v>269</v>
      </c>
      <c r="C71" s="266"/>
      <c r="D71" s="269"/>
      <c r="E71" s="266"/>
      <c r="F71" s="193"/>
      <c r="G71" s="146" t="s">
        <v>22</v>
      </c>
      <c r="H71" s="147" t="n">
        <v>36</v>
      </c>
      <c r="I71" s="148" t="n">
        <v>29</v>
      </c>
      <c r="J71" s="148" t="n">
        <v>41</v>
      </c>
      <c r="K71" s="149" t="n">
        <v>88479.18</v>
      </c>
      <c r="L71" s="149" t="n">
        <f aca="false">M71+N71</f>
        <v>64830.78</v>
      </c>
      <c r="M71" s="149" t="n">
        <v>64830.78</v>
      </c>
      <c r="N71" s="190"/>
      <c r="O71" s="206"/>
      <c r="P71" s="149"/>
      <c r="Q71" s="149" t="n">
        <f aca="false">R71+S71</f>
        <v>0</v>
      </c>
      <c r="R71" s="149"/>
      <c r="S71" s="19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" hidden="false" customHeight="false" outlineLevel="0" collapsed="false">
      <c r="A72" s="17"/>
      <c r="B72" s="266"/>
      <c r="C72" s="266"/>
      <c r="D72" s="266"/>
      <c r="E72" s="266"/>
      <c r="F72" s="218"/>
      <c r="G72" s="152" t="s">
        <v>26</v>
      </c>
      <c r="H72" s="176"/>
      <c r="I72" s="154"/>
      <c r="J72" s="154"/>
      <c r="K72" s="155"/>
      <c r="L72" s="155" t="n">
        <f aca="false">M72+N72</f>
        <v>0</v>
      </c>
      <c r="M72" s="155"/>
      <c r="N72" s="156"/>
      <c r="O72" s="209"/>
      <c r="P72" s="155"/>
      <c r="Q72" s="155" t="n">
        <f aca="false">R72+S72</f>
        <v>0</v>
      </c>
      <c r="R72" s="155"/>
      <c r="S72" s="156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54"/>
      <c r="B73" s="200" t="s">
        <v>222</v>
      </c>
      <c r="C73" s="200" t="s">
        <v>20</v>
      </c>
      <c r="D73" s="274"/>
      <c r="E73" s="200" t="s">
        <v>279</v>
      </c>
      <c r="F73" s="192"/>
      <c r="G73" s="158" t="s">
        <v>22</v>
      </c>
      <c r="H73" s="169" t="n">
        <v>44</v>
      </c>
      <c r="I73" s="160" t="n">
        <v>38</v>
      </c>
      <c r="J73" s="160" t="n">
        <v>47</v>
      </c>
      <c r="K73" s="161" t="n">
        <v>114658.88</v>
      </c>
      <c r="L73" s="161" t="n">
        <f aca="false">M73+N73</f>
        <v>113554.28</v>
      </c>
      <c r="M73" s="161" t="n">
        <v>113554.28</v>
      </c>
      <c r="N73" s="190"/>
      <c r="O73" s="163"/>
      <c r="P73" s="161"/>
      <c r="Q73" s="161" t="n">
        <f aca="false">R73+S73</f>
        <v>0</v>
      </c>
      <c r="R73" s="161"/>
      <c r="S73" s="19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54"/>
      <c r="B74" s="200"/>
      <c r="C74" s="200"/>
      <c r="D74" s="200"/>
      <c r="E74" s="200"/>
      <c r="F74" s="52" t="s">
        <v>234</v>
      </c>
      <c r="G74" s="164" t="s">
        <v>23</v>
      </c>
      <c r="H74" s="178" t="n">
        <v>6</v>
      </c>
      <c r="I74" s="165" t="n">
        <v>3</v>
      </c>
      <c r="J74" s="165" t="n">
        <v>3</v>
      </c>
      <c r="K74" s="166" t="n">
        <v>3060.66</v>
      </c>
      <c r="L74" s="166" t="n">
        <f aca="false">M74+N74</f>
        <v>3060.66</v>
      </c>
      <c r="M74" s="166" t="n">
        <v>3060.66</v>
      </c>
      <c r="N74" s="156"/>
      <c r="O74" s="168"/>
      <c r="P74" s="166"/>
      <c r="Q74" s="166" t="n">
        <f aca="false">R74+S74</f>
        <v>0</v>
      </c>
      <c r="R74" s="166"/>
      <c r="S74" s="156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266" t="s">
        <v>249</v>
      </c>
      <c r="C75" s="266"/>
      <c r="D75" s="269"/>
      <c r="E75" s="266"/>
      <c r="F75" s="193"/>
      <c r="G75" s="146" t="s">
        <v>22</v>
      </c>
      <c r="H75" s="147" t="n">
        <v>2</v>
      </c>
      <c r="I75" s="148" t="n">
        <v>1</v>
      </c>
      <c r="J75" s="148" t="n">
        <v>1</v>
      </c>
      <c r="K75" s="149" t="n">
        <v>1690.48</v>
      </c>
      <c r="L75" s="149" t="n">
        <f aca="false">M75+N75</f>
        <v>1690.48</v>
      </c>
      <c r="M75" s="149" t="n">
        <v>1690.48</v>
      </c>
      <c r="N75" s="190"/>
      <c r="O75" s="206"/>
      <c r="P75" s="149"/>
      <c r="Q75" s="149" t="n">
        <f aca="false">R75+S75</f>
        <v>0</v>
      </c>
      <c r="R75" s="149"/>
      <c r="S75" s="19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" hidden="false" customHeight="false" outlineLevel="0" collapsed="false">
      <c r="A76" s="17"/>
      <c r="B76" s="266"/>
      <c r="C76" s="266"/>
      <c r="D76" s="266"/>
      <c r="E76" s="266"/>
      <c r="F76" s="250" t="s">
        <v>250</v>
      </c>
      <c r="G76" s="152" t="s">
        <v>26</v>
      </c>
      <c r="H76" s="176" t="n">
        <v>7</v>
      </c>
      <c r="I76" s="154" t="n">
        <v>2</v>
      </c>
      <c r="J76" s="154" t="n">
        <v>2</v>
      </c>
      <c r="K76" s="155" t="n">
        <v>5707.1</v>
      </c>
      <c r="L76" s="155" t="n">
        <f aca="false">M76+N76</f>
        <v>5707.1</v>
      </c>
      <c r="M76" s="155" t="n">
        <f aca="false">2577.4+3129.7</f>
        <v>5707.1</v>
      </c>
      <c r="N76" s="156"/>
      <c r="O76" s="209"/>
      <c r="P76" s="155"/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" hidden="false" customHeight="true" outlineLevel="0" collapsed="false">
      <c r="A77" s="33"/>
      <c r="B77" s="188" t="s">
        <v>59</v>
      </c>
      <c r="C77" s="188" t="s">
        <v>20</v>
      </c>
      <c r="D77" s="275"/>
      <c r="E77" s="188" t="s">
        <v>25</v>
      </c>
      <c r="F77" s="192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90"/>
      <c r="O77" s="163" t="n">
        <v>1</v>
      </c>
      <c r="P77" s="161" t="n">
        <v>405.02</v>
      </c>
      <c r="Q77" s="161" t="n">
        <f aca="false">R77+S77</f>
        <v>0</v>
      </c>
      <c r="R77" s="161"/>
      <c r="S77" s="190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33"/>
      <c r="B78" s="188"/>
      <c r="C78" s="188"/>
      <c r="D78" s="188"/>
      <c r="E78" s="188"/>
      <c r="F78" s="272"/>
      <c r="G78" s="164" t="s">
        <v>26</v>
      </c>
      <c r="H78" s="153"/>
      <c r="I78" s="165"/>
      <c r="J78" s="165"/>
      <c r="K78" s="166"/>
      <c r="L78" s="166" t="n">
        <f aca="false">M78+N78</f>
        <v>0</v>
      </c>
      <c r="M78" s="166"/>
      <c r="N78" s="156"/>
      <c r="O78" s="168"/>
      <c r="P78" s="166"/>
      <c r="Q78" s="166" t="n">
        <f aca="false">R78+S78</f>
        <v>0</v>
      </c>
      <c r="R78" s="166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17"/>
      <c r="B79" s="266" t="s">
        <v>60</v>
      </c>
      <c r="C79" s="266" t="s">
        <v>20</v>
      </c>
      <c r="D79" s="266"/>
      <c r="E79" s="266" t="s">
        <v>21</v>
      </c>
      <c r="F79" s="193"/>
      <c r="G79" s="146" t="s">
        <v>22</v>
      </c>
      <c r="H79" s="169" t="n">
        <v>20</v>
      </c>
      <c r="I79" s="148" t="n">
        <v>6</v>
      </c>
      <c r="J79" s="148" t="n">
        <v>6</v>
      </c>
      <c r="K79" s="149" t="n">
        <v>6511.48</v>
      </c>
      <c r="L79" s="149" t="n">
        <f aca="false">M79+N79</f>
        <v>6511.48</v>
      </c>
      <c r="M79" s="149" t="n">
        <v>6511.48</v>
      </c>
      <c r="N79" s="190"/>
      <c r="O79" s="151" t="n">
        <v>2</v>
      </c>
      <c r="P79" s="149" t="n">
        <v>3855.96</v>
      </c>
      <c r="Q79" s="149" t="n">
        <f aca="false">R79+S79</f>
        <v>3855.96</v>
      </c>
      <c r="R79" s="149" t="n">
        <v>3855.96</v>
      </c>
      <c r="S79" s="190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17"/>
      <c r="B80" s="266"/>
      <c r="C80" s="266"/>
      <c r="D80" s="266"/>
      <c r="E80" s="266"/>
      <c r="F80" s="272"/>
      <c r="G80" s="164" t="s">
        <v>23</v>
      </c>
      <c r="H80" s="175"/>
      <c r="I80" s="165"/>
      <c r="J80" s="165"/>
      <c r="K80" s="166"/>
      <c r="L80" s="166" t="n">
        <f aca="false">M80+N80</f>
        <v>0</v>
      </c>
      <c r="M80" s="166"/>
      <c r="N80" s="156"/>
      <c r="O80" s="168"/>
      <c r="P80" s="166"/>
      <c r="Q80" s="166" t="n">
        <f aca="false">R80+S80</f>
        <v>0</v>
      </c>
      <c r="R80" s="166"/>
      <c r="S80" s="156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.75" hidden="false" customHeight="true" outlineLevel="0" collapsed="false">
      <c r="A81" s="17"/>
      <c r="B81" s="266" t="s">
        <v>223</v>
      </c>
      <c r="C81" s="266" t="s">
        <v>33</v>
      </c>
      <c r="D81" s="266" t="s">
        <v>280</v>
      </c>
      <c r="E81" s="266" t="s">
        <v>259</v>
      </c>
      <c r="F81" s="267"/>
      <c r="G81" s="146" t="s">
        <v>22</v>
      </c>
      <c r="H81" s="173" t="n">
        <v>21</v>
      </c>
      <c r="I81" s="148" t="n">
        <v>13</v>
      </c>
      <c r="J81" s="148" t="n">
        <v>13</v>
      </c>
      <c r="K81" s="149" t="n">
        <v>50766.09</v>
      </c>
      <c r="L81" s="149" t="n">
        <f aca="false">M81+N81</f>
        <v>45671.29</v>
      </c>
      <c r="M81" s="149" t="n">
        <v>45671.29</v>
      </c>
      <c r="N81" s="190"/>
      <c r="O81" s="151"/>
      <c r="P81" s="149"/>
      <c r="Q81" s="149" t="n">
        <f aca="false">R81+S81</f>
        <v>0</v>
      </c>
      <c r="R81" s="149"/>
      <c r="S81" s="19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266"/>
      <c r="C82" s="266"/>
      <c r="D82" s="266"/>
      <c r="E82" s="266"/>
      <c r="F82" s="218" t="s">
        <v>235</v>
      </c>
      <c r="G82" s="152" t="s">
        <v>23</v>
      </c>
      <c r="H82" s="174" t="n">
        <v>28</v>
      </c>
      <c r="I82" s="154" t="n">
        <v>17</v>
      </c>
      <c r="J82" s="154" t="n">
        <v>17</v>
      </c>
      <c r="K82" s="155" t="n">
        <v>27906.07</v>
      </c>
      <c r="L82" s="155" t="n">
        <f aca="false">M82+N82</f>
        <v>27906.07</v>
      </c>
      <c r="M82" s="155" t="n">
        <v>27906.07</v>
      </c>
      <c r="N82" s="156"/>
      <c r="O82" s="157"/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188" t="s">
        <v>61</v>
      </c>
      <c r="C83" s="188" t="s">
        <v>33</v>
      </c>
      <c r="D83" s="200" t="s">
        <v>62</v>
      </c>
      <c r="E83" s="188" t="s">
        <v>25</v>
      </c>
      <c r="F83" s="268"/>
      <c r="G83" s="158" t="s">
        <v>22</v>
      </c>
      <c r="H83" s="159" t="n">
        <v>7</v>
      </c>
      <c r="I83" s="160" t="n">
        <v>3</v>
      </c>
      <c r="J83" s="160" t="n">
        <v>3</v>
      </c>
      <c r="K83" s="161" t="n">
        <v>4510.72</v>
      </c>
      <c r="L83" s="161" t="n">
        <f aca="false">M83+N83</f>
        <v>4510.72</v>
      </c>
      <c r="M83" s="161" t="n">
        <v>4510.72</v>
      </c>
      <c r="N83" s="190"/>
      <c r="O83" s="163" t="n">
        <v>5</v>
      </c>
      <c r="P83" s="161" t="n">
        <v>56206.73</v>
      </c>
      <c r="Q83" s="161" t="n">
        <f aca="false">R83+S83</f>
        <v>52156.53</v>
      </c>
      <c r="R83" s="161" t="n">
        <v>52156.53</v>
      </c>
      <c r="S83" s="190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188"/>
      <c r="C84" s="188"/>
      <c r="D84" s="200"/>
      <c r="E84" s="188"/>
      <c r="F84" s="52" t="s">
        <v>173</v>
      </c>
      <c r="G84" s="164" t="s">
        <v>26</v>
      </c>
      <c r="H84" s="153" t="n">
        <v>6</v>
      </c>
      <c r="I84" s="165" t="n">
        <v>3</v>
      </c>
      <c r="J84" s="165" t="n">
        <v>3</v>
      </c>
      <c r="K84" s="166" t="n">
        <v>2643</v>
      </c>
      <c r="L84" s="166" t="n">
        <f aca="false">M84+N84</f>
        <v>2643</v>
      </c>
      <c r="M84" s="166" t="n">
        <f aca="false">704.8+1938.2</f>
        <v>2643</v>
      </c>
      <c r="N84" s="156"/>
      <c r="O84" s="168" t="n">
        <v>4</v>
      </c>
      <c r="P84" s="166" t="n">
        <v>4748.3</v>
      </c>
      <c r="Q84" s="166" t="n">
        <f aca="false">R84+S84</f>
        <v>6037</v>
      </c>
      <c r="R84" s="166" t="n">
        <f aca="false">2907.3+1841+1288.7</f>
        <v>6037</v>
      </c>
      <c r="S84" s="156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.75" hidden="false" customHeight="true" outlineLevel="0" collapsed="false">
      <c r="A85" s="72"/>
      <c r="B85" s="196" t="s">
        <v>63</v>
      </c>
      <c r="C85" s="196" t="s">
        <v>20</v>
      </c>
      <c r="D85" s="196"/>
      <c r="E85" s="196" t="s">
        <v>25</v>
      </c>
      <c r="F85" s="267"/>
      <c r="G85" s="146" t="s">
        <v>22</v>
      </c>
      <c r="H85" s="169" t="n">
        <v>10</v>
      </c>
      <c r="I85" s="148" t="n">
        <v>5</v>
      </c>
      <c r="J85" s="148" t="n">
        <v>6</v>
      </c>
      <c r="K85" s="149" t="n">
        <v>8371.38</v>
      </c>
      <c r="L85" s="149" t="n">
        <f aca="false">M85+N85</f>
        <v>6604.02</v>
      </c>
      <c r="M85" s="149" t="n">
        <v>6604.02</v>
      </c>
      <c r="N85" s="190"/>
      <c r="O85" s="151" t="n">
        <v>12</v>
      </c>
      <c r="P85" s="149" t="n">
        <v>42053.1</v>
      </c>
      <c r="Q85" s="149" t="n">
        <f aca="false">R85+S85</f>
        <v>31183.27</v>
      </c>
      <c r="R85" s="149" t="n">
        <v>31183.27</v>
      </c>
      <c r="S85" s="19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196"/>
      <c r="C86" s="196"/>
      <c r="D86" s="196"/>
      <c r="E86" s="196"/>
      <c r="F86" s="52" t="s">
        <v>174</v>
      </c>
      <c r="G86" s="164" t="s">
        <v>26</v>
      </c>
      <c r="H86" s="153" t="n">
        <v>7</v>
      </c>
      <c r="I86" s="165" t="n">
        <v>2</v>
      </c>
      <c r="J86" s="165" t="n">
        <v>2</v>
      </c>
      <c r="K86" s="166" t="n">
        <v>3497.9</v>
      </c>
      <c r="L86" s="166" t="n">
        <f aca="false">M86+N86</f>
        <v>3497.9</v>
      </c>
      <c r="M86" s="166" t="n">
        <f aca="false">1841+1656.9</f>
        <v>3497.9</v>
      </c>
      <c r="N86" s="156"/>
      <c r="O86" s="168"/>
      <c r="P86" s="166"/>
      <c r="Q86" s="166" t="n">
        <f aca="false">R86+S86</f>
        <v>0</v>
      </c>
      <c r="R86" s="166"/>
      <c r="S86" s="156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72"/>
      <c r="B87" s="196" t="s">
        <v>64</v>
      </c>
      <c r="C87" s="196" t="s">
        <v>20</v>
      </c>
      <c r="D87" s="196"/>
      <c r="E87" s="196" t="s">
        <v>25</v>
      </c>
      <c r="F87" s="267"/>
      <c r="G87" s="146" t="s">
        <v>22</v>
      </c>
      <c r="H87" s="169" t="n">
        <v>2</v>
      </c>
      <c r="I87" s="148" t="n">
        <v>1</v>
      </c>
      <c r="J87" s="148" t="n">
        <v>1</v>
      </c>
      <c r="K87" s="149" t="n">
        <v>1212.02</v>
      </c>
      <c r="L87" s="149" t="n">
        <f aca="false">M87+N87</f>
        <v>1212.02</v>
      </c>
      <c r="M87" s="149" t="n">
        <v>1212.02</v>
      </c>
      <c r="N87" s="190"/>
      <c r="O87" s="151"/>
      <c r="P87" s="149"/>
      <c r="Q87" s="149" t="n">
        <f aca="false">R87+S87</f>
        <v>0</v>
      </c>
      <c r="R87" s="149"/>
      <c r="S87" s="19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72"/>
      <c r="B88" s="196"/>
      <c r="C88" s="196"/>
      <c r="D88" s="196"/>
      <c r="E88" s="196"/>
      <c r="F88" s="272"/>
      <c r="G88" s="164" t="s">
        <v>26</v>
      </c>
      <c r="H88" s="153"/>
      <c r="I88" s="165"/>
      <c r="J88" s="165"/>
      <c r="K88" s="166"/>
      <c r="L88" s="166" t="n">
        <f aca="false">M88+N88</f>
        <v>0</v>
      </c>
      <c r="M88" s="166"/>
      <c r="N88" s="156"/>
      <c r="O88" s="168"/>
      <c r="P88" s="166"/>
      <c r="Q88" s="166" t="n">
        <f aca="false">R88+S88</f>
        <v>0</v>
      </c>
      <c r="R88" s="166"/>
      <c r="S88" s="156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.75" hidden="false" customHeight="true" outlineLevel="0" collapsed="false">
      <c r="A89" s="17"/>
      <c r="B89" s="266" t="s">
        <v>65</v>
      </c>
      <c r="C89" s="266" t="s">
        <v>33</v>
      </c>
      <c r="D89" s="266" t="s">
        <v>66</v>
      </c>
      <c r="E89" s="266" t="s">
        <v>67</v>
      </c>
      <c r="F89" s="267"/>
      <c r="G89" s="146" t="s">
        <v>22</v>
      </c>
      <c r="H89" s="159" t="n">
        <v>19</v>
      </c>
      <c r="I89" s="148" t="n">
        <v>14</v>
      </c>
      <c r="J89" s="148" t="n">
        <v>17</v>
      </c>
      <c r="K89" s="149" t="n">
        <v>27926.13</v>
      </c>
      <c r="L89" s="149" t="n">
        <f aca="false">M89+N89</f>
        <v>13028.25</v>
      </c>
      <c r="M89" s="149" t="n">
        <v>13028.25</v>
      </c>
      <c r="N89" s="190"/>
      <c r="O89" s="151" t="n">
        <v>16</v>
      </c>
      <c r="P89" s="149" t="n">
        <v>55294.1</v>
      </c>
      <c r="Q89" s="149" t="n">
        <f aca="false">R89+S89</f>
        <v>54237.55</v>
      </c>
      <c r="R89" s="149" t="n">
        <v>54237.55</v>
      </c>
      <c r="S89" s="190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.75" hidden="false" customHeight="true" outlineLevel="0" collapsed="false">
      <c r="A90" s="17"/>
      <c r="B90" s="266"/>
      <c r="C90" s="266"/>
      <c r="D90" s="266"/>
      <c r="E90" s="266"/>
      <c r="F90" s="52" t="s">
        <v>236</v>
      </c>
      <c r="G90" s="164" t="s">
        <v>23</v>
      </c>
      <c r="H90" s="172" t="n">
        <v>41</v>
      </c>
      <c r="I90" s="165" t="n">
        <v>42</v>
      </c>
      <c r="J90" s="165" t="n">
        <v>42</v>
      </c>
      <c r="K90" s="166" t="n">
        <v>47937.55</v>
      </c>
      <c r="L90" s="166" t="n">
        <v>47937.55</v>
      </c>
      <c r="M90" s="166" t="n">
        <v>47937.55</v>
      </c>
      <c r="N90" s="156"/>
      <c r="O90" s="168" t="n">
        <v>41</v>
      </c>
      <c r="P90" s="166" t="n">
        <v>93370.07</v>
      </c>
      <c r="Q90" s="166" t="n">
        <f aca="false">R90+S90</f>
        <v>93370.07</v>
      </c>
      <c r="R90" s="166" t="n">
        <v>93370.07</v>
      </c>
      <c r="S90" s="156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" hidden="false" customHeight="true" outlineLevel="0" collapsed="false">
      <c r="A91" s="17"/>
      <c r="B91" s="266" t="s">
        <v>175</v>
      </c>
      <c r="C91" s="266"/>
      <c r="D91" s="266"/>
      <c r="E91" s="266"/>
      <c r="F91" s="276"/>
      <c r="G91" s="146" t="s">
        <v>22</v>
      </c>
      <c r="H91" s="147" t="n">
        <v>13</v>
      </c>
      <c r="I91" s="148" t="n">
        <v>8</v>
      </c>
      <c r="J91" s="148" t="n">
        <v>10</v>
      </c>
      <c r="K91" s="149" t="n">
        <v>14299.39</v>
      </c>
      <c r="L91" s="149" t="n">
        <f aca="false">M91+N91</f>
        <v>14299.39</v>
      </c>
      <c r="M91" s="149" t="n">
        <v>14299.39</v>
      </c>
      <c r="N91" s="190"/>
      <c r="O91" s="151"/>
      <c r="P91" s="149"/>
      <c r="Q91" s="149" t="n">
        <f aca="false">R91+S91</f>
        <v>0</v>
      </c>
      <c r="R91" s="149"/>
      <c r="S91" s="190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false" outlineLevel="0" collapsed="false">
      <c r="A92" s="17"/>
      <c r="B92" s="266"/>
      <c r="C92" s="266"/>
      <c r="D92" s="266"/>
      <c r="E92" s="266"/>
      <c r="F92" s="277"/>
      <c r="G92" s="164" t="s">
        <v>26</v>
      </c>
      <c r="H92" s="178" t="n">
        <v>11</v>
      </c>
      <c r="I92" s="165" t="n">
        <v>7</v>
      </c>
      <c r="J92" s="165" t="n">
        <v>7</v>
      </c>
      <c r="K92" s="166" t="n">
        <v>12363.15</v>
      </c>
      <c r="L92" s="166" t="n">
        <f aca="false">M92+N92</f>
        <v>10154</v>
      </c>
      <c r="M92" s="166" t="n">
        <f aca="false">8865.3+1288.7</f>
        <v>10154</v>
      </c>
      <c r="N92" s="156"/>
      <c r="O92" s="168"/>
      <c r="P92" s="166"/>
      <c r="Q92" s="166" t="n">
        <f aca="false">R92+S92</f>
        <v>0</v>
      </c>
      <c r="R92" s="166"/>
      <c r="S92" s="156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" hidden="false" customHeight="true" outlineLevel="0" collapsed="false">
      <c r="A93" s="17"/>
      <c r="B93" s="266" t="s">
        <v>68</v>
      </c>
      <c r="C93" s="266" t="s">
        <v>20</v>
      </c>
      <c r="D93" s="266"/>
      <c r="E93" s="266" t="s">
        <v>69</v>
      </c>
      <c r="F93" s="193"/>
      <c r="G93" s="146" t="s">
        <v>22</v>
      </c>
      <c r="H93" s="147" t="n">
        <v>17</v>
      </c>
      <c r="I93" s="148" t="n">
        <v>12</v>
      </c>
      <c r="J93" s="148" t="n">
        <v>16</v>
      </c>
      <c r="K93" s="149" t="n">
        <v>33391.12</v>
      </c>
      <c r="L93" s="149" t="n">
        <f aca="false">M93+N93</f>
        <v>28957.76</v>
      </c>
      <c r="M93" s="149" t="n">
        <v>28957.76</v>
      </c>
      <c r="N93" s="190"/>
      <c r="O93" s="151" t="n">
        <v>17</v>
      </c>
      <c r="P93" s="149" t="n">
        <v>56917.37</v>
      </c>
      <c r="Q93" s="149" t="n">
        <f aca="false">R93+S93</f>
        <v>56917.37</v>
      </c>
      <c r="R93" s="149" t="n">
        <v>56917.37</v>
      </c>
      <c r="S93" s="190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.75" hidden="false" customHeight="true" outlineLevel="0" collapsed="false">
      <c r="A94" s="17"/>
      <c r="B94" s="266"/>
      <c r="C94" s="266"/>
      <c r="D94" s="266"/>
      <c r="E94" s="266"/>
      <c r="F94" s="218" t="s">
        <v>176</v>
      </c>
      <c r="G94" s="152" t="s">
        <v>26</v>
      </c>
      <c r="H94" s="153" t="n">
        <v>11</v>
      </c>
      <c r="I94" s="154" t="n">
        <v>6</v>
      </c>
      <c r="J94" s="154" t="n">
        <v>6</v>
      </c>
      <c r="K94" s="235" t="n">
        <v>9868.22</v>
      </c>
      <c r="L94" s="155" t="n">
        <f aca="false">M94+N94</f>
        <v>10348.8</v>
      </c>
      <c r="M94" s="155" t="n">
        <v>10348.8</v>
      </c>
      <c r="N94" s="156"/>
      <c r="O94" s="157"/>
      <c r="P94" s="155" t="n">
        <v>5462.2</v>
      </c>
      <c r="Q94" s="155" t="n">
        <f aca="false">R94+S94</f>
        <v>4405</v>
      </c>
      <c r="R94" s="155" t="n">
        <f aca="false">4405</f>
        <v>4405</v>
      </c>
      <c r="S94" s="156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54"/>
      <c r="B95" s="200" t="s">
        <v>70</v>
      </c>
      <c r="C95" s="200" t="s">
        <v>20</v>
      </c>
      <c r="D95" s="200" t="s">
        <v>71</v>
      </c>
      <c r="E95" s="200" t="s">
        <v>25</v>
      </c>
      <c r="F95" s="268"/>
      <c r="G95" s="158" t="s">
        <v>22</v>
      </c>
      <c r="H95" s="169" t="n">
        <v>2</v>
      </c>
      <c r="I95" s="160"/>
      <c r="J95" s="160"/>
      <c r="K95" s="161"/>
      <c r="L95" s="161" t="n">
        <f aca="false">M95+N95</f>
        <v>0</v>
      </c>
      <c r="M95" s="161"/>
      <c r="N95" s="190"/>
      <c r="O95" s="163" t="n">
        <v>5</v>
      </c>
      <c r="P95" s="161" t="n">
        <v>35653.05</v>
      </c>
      <c r="Q95" s="161" t="n">
        <f aca="false">R95+S95</f>
        <v>12680.22</v>
      </c>
      <c r="R95" s="161" t="n">
        <v>12680.22</v>
      </c>
      <c r="S95" s="190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.75" hidden="false" customHeight="true" outlineLevel="0" collapsed="false">
      <c r="A96" s="54"/>
      <c r="B96" s="200"/>
      <c r="C96" s="200"/>
      <c r="D96" s="200"/>
      <c r="E96" s="200"/>
      <c r="F96" s="218" t="s">
        <v>177</v>
      </c>
      <c r="G96" s="152" t="s">
        <v>26</v>
      </c>
      <c r="H96" s="153" t="n">
        <v>11</v>
      </c>
      <c r="I96" s="154" t="n">
        <v>1</v>
      </c>
      <c r="J96" s="154" t="n">
        <v>1</v>
      </c>
      <c r="K96" s="155" t="n">
        <v>1409.6</v>
      </c>
      <c r="L96" s="155" t="n">
        <f aca="false">M96+N96</f>
        <v>1409.6</v>
      </c>
      <c r="M96" s="155" t="n">
        <f aca="false">1409.6</f>
        <v>1409.6</v>
      </c>
      <c r="N96" s="156"/>
      <c r="O96" s="157"/>
      <c r="P96" s="155"/>
      <c r="Q96" s="155" t="n">
        <f aca="false">R96+S96</f>
        <v>0</v>
      </c>
      <c r="R96" s="155"/>
      <c r="S96" s="156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" hidden="false" customHeight="true" outlineLevel="0" collapsed="false">
      <c r="A97" s="33"/>
      <c r="B97" s="188" t="s">
        <v>72</v>
      </c>
      <c r="C97" s="188" t="s">
        <v>20</v>
      </c>
      <c r="D97" s="188"/>
      <c r="E97" s="188" t="s">
        <v>52</v>
      </c>
      <c r="F97" s="268"/>
      <c r="G97" s="146" t="s">
        <v>22</v>
      </c>
      <c r="H97" s="159" t="n">
        <v>15</v>
      </c>
      <c r="I97" s="160" t="n">
        <v>12</v>
      </c>
      <c r="J97" s="160" t="n">
        <v>18</v>
      </c>
      <c r="K97" s="161" t="n">
        <v>28349.16</v>
      </c>
      <c r="L97" s="161" t="n">
        <f aca="false">M97+N97</f>
        <v>26173.65</v>
      </c>
      <c r="M97" s="161" t="n">
        <v>26173.65</v>
      </c>
      <c r="N97" s="190"/>
      <c r="O97" s="163" t="n">
        <v>10</v>
      </c>
      <c r="P97" s="161" t="n">
        <v>66381.82</v>
      </c>
      <c r="Q97" s="161" t="n">
        <f aca="false">R97+S97</f>
        <v>62858.94</v>
      </c>
      <c r="R97" s="161" t="n">
        <v>62858.94</v>
      </c>
      <c r="S97" s="190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.75" hidden="false" customHeight="true" outlineLevel="0" collapsed="false">
      <c r="A98" s="33"/>
      <c r="B98" s="188"/>
      <c r="C98" s="188"/>
      <c r="D98" s="188"/>
      <c r="E98" s="188"/>
      <c r="F98" s="52" t="s">
        <v>178</v>
      </c>
      <c r="G98" s="164" t="s">
        <v>26</v>
      </c>
      <c r="H98" s="171" t="n">
        <v>9</v>
      </c>
      <c r="I98" s="165" t="n">
        <v>5</v>
      </c>
      <c r="J98" s="165" t="n">
        <v>5</v>
      </c>
      <c r="K98" s="166" t="n">
        <v>9511.93</v>
      </c>
      <c r="L98" s="161" t="n">
        <f aca="false">M98+N98</f>
        <v>8502.13</v>
      </c>
      <c r="M98" s="166" t="n">
        <f aca="false">3042.8+1288.7+4170.63</f>
        <v>8502.13</v>
      </c>
      <c r="N98" s="156"/>
      <c r="O98" s="168" t="n">
        <v>4</v>
      </c>
      <c r="P98" s="166" t="n">
        <v>13278.18</v>
      </c>
      <c r="Q98" s="166" t="n">
        <f aca="false">R98+S98</f>
        <v>13278.18</v>
      </c>
      <c r="R98" s="166" t="n">
        <v>13278.18</v>
      </c>
      <c r="S98" s="156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" hidden="false" customHeight="true" outlineLevel="0" collapsed="false">
      <c r="A99" s="17"/>
      <c r="B99" s="266" t="s">
        <v>73</v>
      </c>
      <c r="C99" s="266" t="s">
        <v>20</v>
      </c>
      <c r="D99" s="266"/>
      <c r="E99" s="266" t="s">
        <v>52</v>
      </c>
      <c r="F99" s="267"/>
      <c r="G99" s="146" t="s">
        <v>22</v>
      </c>
      <c r="H99" s="159" t="n">
        <v>10</v>
      </c>
      <c r="I99" s="148" t="n">
        <v>9</v>
      </c>
      <c r="J99" s="148" t="n">
        <v>10</v>
      </c>
      <c r="K99" s="149" t="n">
        <v>15895.6</v>
      </c>
      <c r="L99" s="149" t="n">
        <f aca="false">M99+N99</f>
        <v>13665.68</v>
      </c>
      <c r="M99" s="149" t="n">
        <v>13665.68</v>
      </c>
      <c r="N99" s="190"/>
      <c r="O99" s="151" t="n">
        <v>4</v>
      </c>
      <c r="P99" s="149" t="n">
        <v>12683.33</v>
      </c>
      <c r="Q99" s="149" t="n">
        <f aca="false">R99+S99</f>
        <v>12683.33</v>
      </c>
      <c r="R99" s="149" t="n">
        <v>12683.33</v>
      </c>
      <c r="S99" s="190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.75" hidden="false" customHeight="true" outlineLevel="0" collapsed="false">
      <c r="A100" s="17"/>
      <c r="B100" s="266"/>
      <c r="C100" s="266"/>
      <c r="D100" s="266"/>
      <c r="E100" s="266"/>
      <c r="F100" s="218" t="s">
        <v>179</v>
      </c>
      <c r="G100" s="152" t="s">
        <v>26</v>
      </c>
      <c r="H100" s="153" t="n">
        <v>8</v>
      </c>
      <c r="I100" s="154" t="n">
        <v>4</v>
      </c>
      <c r="J100" s="154" t="n">
        <v>4</v>
      </c>
      <c r="K100" s="155" t="n">
        <v>14343.3</v>
      </c>
      <c r="L100" s="155" t="n">
        <f aca="false">M100+N100</f>
        <v>12581.3</v>
      </c>
      <c r="M100" s="155" t="n">
        <f aca="false">10924.4+1656.9</f>
        <v>12581.3</v>
      </c>
      <c r="N100" s="156"/>
      <c r="O100" s="157" t="n">
        <v>7</v>
      </c>
      <c r="P100" s="155" t="n">
        <v>14649.4</v>
      </c>
      <c r="Q100" s="155" t="n">
        <f aca="false">R100+S100</f>
        <v>9494.2</v>
      </c>
      <c r="R100" s="155" t="n">
        <f aca="false">1762+7732.2</f>
        <v>9494.2</v>
      </c>
      <c r="S100" s="156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33"/>
      <c r="B101" s="188" t="s">
        <v>74</v>
      </c>
      <c r="C101" s="188" t="s">
        <v>33</v>
      </c>
      <c r="D101" s="188" t="s">
        <v>75</v>
      </c>
      <c r="E101" s="188" t="s">
        <v>25</v>
      </c>
      <c r="F101" s="268"/>
      <c r="G101" s="146" t="s">
        <v>22</v>
      </c>
      <c r="H101" s="159" t="n">
        <v>41</v>
      </c>
      <c r="I101" s="160" t="n">
        <v>33</v>
      </c>
      <c r="J101" s="160" t="n">
        <v>37</v>
      </c>
      <c r="K101" s="161" t="n">
        <v>73327.75</v>
      </c>
      <c r="L101" s="161" t="n">
        <f aca="false">M101+N101</f>
        <v>65192.31</v>
      </c>
      <c r="M101" s="161" t="n">
        <v>65192.31</v>
      </c>
      <c r="N101" s="190"/>
      <c r="O101" s="163" t="n">
        <v>28</v>
      </c>
      <c r="P101" s="161" t="n">
        <v>162655.25</v>
      </c>
      <c r="Q101" s="161" t="n">
        <f aca="false">R101+S101</f>
        <v>162126.65</v>
      </c>
      <c r="R101" s="161" t="n">
        <v>162126.65</v>
      </c>
      <c r="S101" s="190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33"/>
      <c r="B102" s="188"/>
      <c r="C102" s="188"/>
      <c r="D102" s="188"/>
      <c r="E102" s="188"/>
      <c r="F102" s="52" t="s">
        <v>270</v>
      </c>
      <c r="G102" s="164" t="s">
        <v>26</v>
      </c>
      <c r="H102" s="153"/>
      <c r="I102" s="165"/>
      <c r="J102" s="165"/>
      <c r="K102" s="166"/>
      <c r="L102" s="166" t="n">
        <f aca="false">M102+N102</f>
        <v>0</v>
      </c>
      <c r="M102" s="166"/>
      <c r="N102" s="156"/>
      <c r="O102" s="168" t="n">
        <v>11</v>
      </c>
      <c r="P102" s="166" t="n">
        <v>28929.2</v>
      </c>
      <c r="Q102" s="166" t="n">
        <f aca="false">R102+S102</f>
        <v>30217.9</v>
      </c>
      <c r="R102" s="166" t="n">
        <f aca="false">21936.9+1233.4+5758.9+1288.7</f>
        <v>30217.9</v>
      </c>
      <c r="S102" s="156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" hidden="false" customHeight="true" outlineLevel="0" collapsed="false">
      <c r="A103" s="72"/>
      <c r="B103" s="196" t="s">
        <v>76</v>
      </c>
      <c r="C103" s="196" t="s">
        <v>20</v>
      </c>
      <c r="D103" s="196" t="s">
        <v>180</v>
      </c>
      <c r="E103" s="196" t="s">
        <v>25</v>
      </c>
      <c r="F103" s="267"/>
      <c r="G103" s="146" t="s">
        <v>22</v>
      </c>
      <c r="H103" s="159" t="n">
        <v>27</v>
      </c>
      <c r="I103" s="148" t="n">
        <v>24</v>
      </c>
      <c r="J103" s="148" t="n">
        <v>26</v>
      </c>
      <c r="K103" s="149" t="n">
        <v>39629.15</v>
      </c>
      <c r="L103" s="149" t="n">
        <f aca="false">M103+N103</f>
        <v>22943.47</v>
      </c>
      <c r="M103" s="149" t="n">
        <v>22943.47</v>
      </c>
      <c r="N103" s="190"/>
      <c r="O103" s="151" t="n">
        <v>4</v>
      </c>
      <c r="P103" s="149" t="n">
        <v>22149.17</v>
      </c>
      <c r="Q103" s="149" t="n">
        <f aca="false">R103+S103</f>
        <v>22149.17</v>
      </c>
      <c r="R103" s="149" t="n">
        <v>22149.17</v>
      </c>
      <c r="S103" s="190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.75" hidden="false" customHeight="true" outlineLevel="0" collapsed="false">
      <c r="A104" s="72"/>
      <c r="B104" s="196"/>
      <c r="C104" s="196"/>
      <c r="D104" s="196"/>
      <c r="E104" s="196"/>
      <c r="F104" s="52" t="s">
        <v>181</v>
      </c>
      <c r="G104" s="164" t="s">
        <v>26</v>
      </c>
      <c r="H104" s="171" t="n">
        <v>9</v>
      </c>
      <c r="I104" s="165"/>
      <c r="J104" s="165"/>
      <c r="K104" s="166"/>
      <c r="L104" s="166" t="n">
        <f aca="false">M104+N104</f>
        <v>0</v>
      </c>
      <c r="M104" s="166"/>
      <c r="N104" s="156"/>
      <c r="O104" s="168" t="n">
        <v>8</v>
      </c>
      <c r="P104" s="166" t="n">
        <v>9735.05</v>
      </c>
      <c r="Q104" s="166" t="n">
        <f aca="false">R104+S104</f>
        <v>18571.85</v>
      </c>
      <c r="R104" s="165" t="n">
        <f aca="false">9735.05+8836.8</f>
        <v>18571.85</v>
      </c>
      <c r="S104" s="156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" hidden="false" customHeight="true" outlineLevel="0" collapsed="false">
      <c r="A105" s="17"/>
      <c r="B105" s="266" t="s">
        <v>77</v>
      </c>
      <c r="C105" s="266" t="s">
        <v>38</v>
      </c>
      <c r="D105" s="266" t="s">
        <v>78</v>
      </c>
      <c r="E105" s="266" t="s">
        <v>25</v>
      </c>
      <c r="F105" s="193"/>
      <c r="G105" s="146" t="s">
        <v>22</v>
      </c>
      <c r="H105" s="169" t="n">
        <v>15</v>
      </c>
      <c r="I105" s="148" t="n">
        <v>14</v>
      </c>
      <c r="J105" s="148" t="n">
        <v>16</v>
      </c>
      <c r="K105" s="149" t="n">
        <v>15527.12</v>
      </c>
      <c r="L105" s="149" t="n">
        <f aca="false">M105+N105</f>
        <v>11422.99</v>
      </c>
      <c r="M105" s="149" t="n">
        <v>11422.99</v>
      </c>
      <c r="N105" s="190"/>
      <c r="O105" s="151" t="n">
        <v>12</v>
      </c>
      <c r="P105" s="149" t="n">
        <v>66472.81</v>
      </c>
      <c r="Q105" s="149" t="n">
        <f aca="false">R105+S105</f>
        <v>56733.17</v>
      </c>
      <c r="R105" s="149" t="n">
        <v>56733.17</v>
      </c>
      <c r="S105" s="190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17"/>
      <c r="B106" s="266"/>
      <c r="C106" s="266"/>
      <c r="D106" s="266"/>
      <c r="E106" s="266"/>
      <c r="F106" s="278" t="s">
        <v>182</v>
      </c>
      <c r="G106" s="180" t="s">
        <v>26</v>
      </c>
      <c r="H106" s="159" t="n">
        <v>11</v>
      </c>
      <c r="I106" s="181" t="n">
        <v>2</v>
      </c>
      <c r="J106" s="181" t="n">
        <v>2</v>
      </c>
      <c r="K106" s="182" t="n">
        <v>5685.8</v>
      </c>
      <c r="L106" s="182" t="n">
        <f aca="false">M106+N106</f>
        <v>8505</v>
      </c>
      <c r="M106" s="182" t="n">
        <f aca="false">8505</f>
        <v>8505</v>
      </c>
      <c r="N106" s="167"/>
      <c r="O106" s="184" t="n">
        <v>10</v>
      </c>
      <c r="P106" s="182" t="n">
        <v>25099.4</v>
      </c>
      <c r="Q106" s="182" t="n">
        <f aca="false">R106+S106</f>
        <v>25099.4</v>
      </c>
      <c r="R106" s="182" t="n">
        <f aca="false">25099.4</f>
        <v>25099.4</v>
      </c>
      <c r="S106" s="167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" hidden="false" customHeight="false" outlineLevel="0" collapsed="false">
      <c r="A107" s="17"/>
      <c r="B107" s="266"/>
      <c r="C107" s="266"/>
      <c r="D107" s="266"/>
      <c r="E107" s="266"/>
      <c r="F107" s="85" t="s">
        <v>237</v>
      </c>
      <c r="G107" s="185" t="s">
        <v>23</v>
      </c>
      <c r="H107" s="186" t="n">
        <v>4</v>
      </c>
      <c r="I107" s="154" t="n">
        <v>6</v>
      </c>
      <c r="J107" s="154" t="n">
        <v>6</v>
      </c>
      <c r="K107" s="155" t="n">
        <v>8979.75</v>
      </c>
      <c r="L107" s="155" t="n">
        <f aca="false">M107+N107</f>
        <v>8979.75</v>
      </c>
      <c r="M107" s="155" t="n">
        <v>8979.75</v>
      </c>
      <c r="N107" s="156"/>
      <c r="O107" s="157" t="n">
        <v>4</v>
      </c>
      <c r="P107" s="155" t="n">
        <v>7752.8</v>
      </c>
      <c r="Q107" s="155" t="n">
        <f aca="false">R107+S107</f>
        <v>7752.8</v>
      </c>
      <c r="R107" s="155" t="n">
        <v>7752.8</v>
      </c>
      <c r="S107" s="156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" hidden="false" customHeight="true" outlineLevel="0" collapsed="false">
      <c r="A108" s="33"/>
      <c r="B108" s="188" t="s">
        <v>79</v>
      </c>
      <c r="C108" s="188" t="s">
        <v>20</v>
      </c>
      <c r="D108" s="188"/>
      <c r="E108" s="188" t="s">
        <v>52</v>
      </c>
      <c r="F108" s="192"/>
      <c r="G108" s="146" t="s">
        <v>22</v>
      </c>
      <c r="H108" s="159" t="n">
        <v>12</v>
      </c>
      <c r="I108" s="160" t="n">
        <v>8</v>
      </c>
      <c r="J108" s="160" t="n">
        <v>10</v>
      </c>
      <c r="K108" s="161" t="n">
        <v>18774.6</v>
      </c>
      <c r="L108" s="161" t="n">
        <f aca="false">M108+N108</f>
        <v>15740.26</v>
      </c>
      <c r="M108" s="161" t="n">
        <v>15740.26</v>
      </c>
      <c r="N108" s="190"/>
      <c r="O108" s="163" t="n">
        <v>12</v>
      </c>
      <c r="P108" s="161" t="n">
        <v>43029.23</v>
      </c>
      <c r="Q108" s="161" t="n">
        <f aca="false">R108+S108</f>
        <v>42324.43</v>
      </c>
      <c r="R108" s="161" t="n">
        <v>42324.43</v>
      </c>
      <c r="S108" s="190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33"/>
      <c r="B109" s="188"/>
      <c r="C109" s="188"/>
      <c r="D109" s="188"/>
      <c r="E109" s="188"/>
      <c r="F109" s="52"/>
      <c r="G109" s="164" t="s">
        <v>26</v>
      </c>
      <c r="H109" s="153"/>
      <c r="I109" s="165"/>
      <c r="J109" s="165"/>
      <c r="K109" s="166"/>
      <c r="L109" s="166" t="n">
        <f aca="false">M109+N109</f>
        <v>0</v>
      </c>
      <c r="M109" s="166"/>
      <c r="N109" s="156"/>
      <c r="O109" s="168"/>
      <c r="P109" s="166"/>
      <c r="Q109" s="166" t="n">
        <f aca="false">R109+S109</f>
        <v>0</v>
      </c>
      <c r="R109" s="166"/>
      <c r="S109" s="156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" hidden="false" customHeight="true" outlineLevel="0" collapsed="false">
      <c r="A110" s="72"/>
      <c r="B110" s="196" t="s">
        <v>80</v>
      </c>
      <c r="C110" s="196" t="s">
        <v>20</v>
      </c>
      <c r="D110" s="196"/>
      <c r="E110" s="196" t="s">
        <v>81</v>
      </c>
      <c r="F110" s="267"/>
      <c r="G110" s="146" t="s">
        <v>22</v>
      </c>
      <c r="H110" s="159" t="n">
        <v>15</v>
      </c>
      <c r="I110" s="148" t="n">
        <v>9</v>
      </c>
      <c r="J110" s="148" t="n">
        <v>10</v>
      </c>
      <c r="K110" s="149" t="n">
        <v>12245.19</v>
      </c>
      <c r="L110" s="149" t="n">
        <f aca="false">M110+N110</f>
        <v>12245.19</v>
      </c>
      <c r="M110" s="149" t="n">
        <v>12245.19</v>
      </c>
      <c r="N110" s="190"/>
      <c r="O110" s="151" t="n">
        <v>1</v>
      </c>
      <c r="P110" s="149" t="n">
        <v>2381.63</v>
      </c>
      <c r="Q110" s="149" t="n">
        <f aca="false">R110+S110</f>
        <v>2381.63</v>
      </c>
      <c r="R110" s="149" t="n">
        <v>2381.63</v>
      </c>
      <c r="S110" s="190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.75" hidden="false" customHeight="true" outlineLevel="0" collapsed="false">
      <c r="A111" s="72"/>
      <c r="B111" s="196"/>
      <c r="C111" s="196"/>
      <c r="D111" s="196"/>
      <c r="E111" s="196"/>
      <c r="F111" s="52" t="s">
        <v>183</v>
      </c>
      <c r="G111" s="164" t="s">
        <v>26</v>
      </c>
      <c r="H111" s="153"/>
      <c r="I111" s="165"/>
      <c r="J111" s="165"/>
      <c r="K111" s="166"/>
      <c r="L111" s="166" t="n">
        <f aca="false">M111+N111</f>
        <v>0</v>
      </c>
      <c r="M111" s="166"/>
      <c r="N111" s="156"/>
      <c r="O111" s="168" t="n">
        <v>1</v>
      </c>
      <c r="P111" s="166" t="n">
        <v>5638.4</v>
      </c>
      <c r="Q111" s="166" t="n">
        <f aca="false">R111+S111</f>
        <v>5638.4</v>
      </c>
      <c r="R111" s="166" t="n">
        <f aca="false">5638.4</f>
        <v>5638.4</v>
      </c>
      <c r="S111" s="156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" hidden="false" customHeight="true" outlineLevel="0" collapsed="false">
      <c r="A112" s="17"/>
      <c r="B112" s="266" t="s">
        <v>82</v>
      </c>
      <c r="C112" s="266" t="s">
        <v>20</v>
      </c>
      <c r="D112" s="266" t="s">
        <v>184</v>
      </c>
      <c r="E112" s="266" t="s">
        <v>25</v>
      </c>
      <c r="F112" s="193"/>
      <c r="G112" s="146" t="s">
        <v>22</v>
      </c>
      <c r="H112" s="159" t="n">
        <v>35</v>
      </c>
      <c r="I112" s="148" t="n">
        <v>34</v>
      </c>
      <c r="J112" s="148" t="n">
        <v>46</v>
      </c>
      <c r="K112" s="149" t="n">
        <v>71721.72</v>
      </c>
      <c r="L112" s="149" t="n">
        <f aca="false">M112+N112</f>
        <v>57191.52</v>
      </c>
      <c r="M112" s="149" t="n">
        <v>57191.52</v>
      </c>
      <c r="N112" s="190"/>
      <c r="O112" s="151" t="n">
        <v>4</v>
      </c>
      <c r="P112" s="149" t="n">
        <v>24038.93</v>
      </c>
      <c r="Q112" s="149" t="n">
        <f aca="false">R112+S112</f>
        <v>24038.93</v>
      </c>
      <c r="R112" s="149" t="n">
        <v>24038.93</v>
      </c>
      <c r="S112" s="190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17"/>
      <c r="B113" s="266"/>
      <c r="C113" s="266"/>
      <c r="D113" s="266"/>
      <c r="E113" s="266"/>
      <c r="F113" s="52" t="s">
        <v>185</v>
      </c>
      <c r="G113" s="164" t="s">
        <v>26</v>
      </c>
      <c r="H113" s="175" t="n">
        <v>10</v>
      </c>
      <c r="I113" s="165" t="n">
        <v>7</v>
      </c>
      <c r="J113" s="165" t="n">
        <v>7</v>
      </c>
      <c r="K113" s="166" t="n">
        <v>18550.85</v>
      </c>
      <c r="L113" s="166" t="n">
        <f aca="false">M113+N113</f>
        <v>14909.75</v>
      </c>
      <c r="M113" s="166" t="n">
        <v>14909.75</v>
      </c>
      <c r="N113" s="156"/>
      <c r="O113" s="168" t="n">
        <v>2</v>
      </c>
      <c r="P113" s="166" t="n">
        <v>10748.14</v>
      </c>
      <c r="Q113" s="166" t="n">
        <f aca="false">R113+S113</f>
        <v>10748.2</v>
      </c>
      <c r="R113" s="166" t="n">
        <v>10748.2</v>
      </c>
      <c r="S113" s="156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" hidden="false" customHeight="true" outlineLevel="0" collapsed="false">
      <c r="A114" s="17"/>
      <c r="B114" s="266" t="s">
        <v>254</v>
      </c>
      <c r="C114" s="266" t="s">
        <v>20</v>
      </c>
      <c r="D114" s="266"/>
      <c r="E114" s="266" t="s">
        <v>25</v>
      </c>
      <c r="F114" s="267"/>
      <c r="G114" s="204" t="s">
        <v>22</v>
      </c>
      <c r="H114" s="205" t="n">
        <v>1</v>
      </c>
      <c r="I114" s="148" t="n">
        <v>1</v>
      </c>
      <c r="J114" s="148" t="n">
        <v>1</v>
      </c>
      <c r="K114" s="149" t="n">
        <v>386.61</v>
      </c>
      <c r="L114" s="166" t="n">
        <f aca="false">M114+N114</f>
        <v>386.61</v>
      </c>
      <c r="M114" s="149" t="n">
        <v>386.61</v>
      </c>
      <c r="N114" s="190"/>
      <c r="O114" s="206"/>
      <c r="P114" s="149"/>
      <c r="Q114" s="149" t="n">
        <f aca="false">R114+S114</f>
        <v>0</v>
      </c>
      <c r="R114" s="149"/>
      <c r="S114" s="190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" hidden="false" customHeight="false" outlineLevel="0" collapsed="false">
      <c r="A115" s="17"/>
      <c r="B115" s="266"/>
      <c r="C115" s="266"/>
      <c r="D115" s="266"/>
      <c r="E115" s="266"/>
      <c r="F115" s="218" t="s">
        <v>271</v>
      </c>
      <c r="G115" s="207" t="s">
        <v>26</v>
      </c>
      <c r="H115" s="208" t="n">
        <v>7</v>
      </c>
      <c r="I115" s="154"/>
      <c r="J115" s="154"/>
      <c r="K115" s="155"/>
      <c r="L115" s="166" t="n">
        <f aca="false">M115+N115</f>
        <v>0</v>
      </c>
      <c r="M115" s="155"/>
      <c r="N115" s="156"/>
      <c r="O115" s="209"/>
      <c r="P115" s="155"/>
      <c r="Q115" s="155" t="n">
        <f aca="false">R115+S115</f>
        <v>0</v>
      </c>
      <c r="R115" s="155"/>
      <c r="S115" s="156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" hidden="false" customHeight="true" outlineLevel="0" collapsed="false">
      <c r="A116" s="54"/>
      <c r="B116" s="200" t="s">
        <v>83</v>
      </c>
      <c r="C116" s="200" t="s">
        <v>20</v>
      </c>
      <c r="D116" s="200"/>
      <c r="E116" s="200" t="s">
        <v>25</v>
      </c>
      <c r="F116" s="268"/>
      <c r="G116" s="158" t="s">
        <v>22</v>
      </c>
      <c r="H116" s="159" t="n">
        <v>18</v>
      </c>
      <c r="I116" s="160" t="n">
        <v>11</v>
      </c>
      <c r="J116" s="160" t="n">
        <v>12</v>
      </c>
      <c r="K116" s="161" t="n">
        <v>14095.27</v>
      </c>
      <c r="L116" s="161" t="n">
        <f aca="false">M116+N116</f>
        <v>11822.95</v>
      </c>
      <c r="M116" s="161" t="n">
        <v>11822.95</v>
      </c>
      <c r="N116" s="190"/>
      <c r="O116" s="163" t="n">
        <v>5</v>
      </c>
      <c r="P116" s="161" t="n">
        <v>16326.21</v>
      </c>
      <c r="Q116" s="161" t="n">
        <f aca="false">R116+S116</f>
        <v>16326.21</v>
      </c>
      <c r="R116" s="161" t="n">
        <v>16326.21</v>
      </c>
      <c r="S116" s="190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54"/>
      <c r="B117" s="200"/>
      <c r="C117" s="200"/>
      <c r="D117" s="200"/>
      <c r="E117" s="200"/>
      <c r="F117" s="218" t="s">
        <v>186</v>
      </c>
      <c r="G117" s="152" t="s">
        <v>26</v>
      </c>
      <c r="H117" s="153" t="n">
        <v>4</v>
      </c>
      <c r="I117" s="154" t="n">
        <v>3</v>
      </c>
      <c r="J117" s="154" t="n">
        <v>3</v>
      </c>
      <c r="K117" s="155" t="n">
        <v>8644.5</v>
      </c>
      <c r="L117" s="155" t="n">
        <f aca="false">M117+N117</f>
        <v>8100.4</v>
      </c>
      <c r="M117" s="155" t="n">
        <f aca="false">8100.4</f>
        <v>8100.4</v>
      </c>
      <c r="N117" s="156"/>
      <c r="O117" s="157" t="n">
        <v>9</v>
      </c>
      <c r="P117" s="155" t="n">
        <v>22553.6</v>
      </c>
      <c r="Q117" s="155" t="n">
        <f aca="false">R117+S117</f>
        <v>27156.1</v>
      </c>
      <c r="R117" s="155" t="n">
        <f aca="false">528.6+22025+4602.5</f>
        <v>27156.1</v>
      </c>
      <c r="S117" s="156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" hidden="false" customHeight="true" outlineLevel="0" collapsed="false">
      <c r="A118" s="33"/>
      <c r="B118" s="188" t="s">
        <v>84</v>
      </c>
      <c r="C118" s="188" t="s">
        <v>20</v>
      </c>
      <c r="D118" s="188"/>
      <c r="E118" s="188" t="s">
        <v>52</v>
      </c>
      <c r="F118" s="268"/>
      <c r="G118" s="146" t="s">
        <v>22</v>
      </c>
      <c r="H118" s="159" t="n">
        <v>39</v>
      </c>
      <c r="I118" s="160" t="n">
        <v>33</v>
      </c>
      <c r="J118" s="160" t="n">
        <v>53</v>
      </c>
      <c r="K118" s="161" t="n">
        <v>124213.18</v>
      </c>
      <c r="L118" s="161" t="n">
        <f aca="false">M118+N118</f>
        <v>72445.13</v>
      </c>
      <c r="M118" s="161" t="n">
        <v>72445.13</v>
      </c>
      <c r="N118" s="190"/>
      <c r="O118" s="163" t="n">
        <v>32</v>
      </c>
      <c r="P118" s="161" t="n">
        <v>61535.32</v>
      </c>
      <c r="Q118" s="161" t="n">
        <f aca="false">R118+S118</f>
        <v>57848.49</v>
      </c>
      <c r="R118" s="161" t="n">
        <v>57848.49</v>
      </c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33"/>
      <c r="B119" s="188"/>
      <c r="C119" s="188"/>
      <c r="D119" s="188"/>
      <c r="E119" s="188"/>
      <c r="F119" s="272"/>
      <c r="G119" s="164" t="s">
        <v>26</v>
      </c>
      <c r="H119" s="153"/>
      <c r="I119" s="165"/>
      <c r="J119" s="165"/>
      <c r="K119" s="166"/>
      <c r="L119" s="166" t="n">
        <f aca="false">M119+N119</f>
        <v>0</v>
      </c>
      <c r="M119" s="166"/>
      <c r="N119" s="156"/>
      <c r="O119" s="168"/>
      <c r="P119" s="166"/>
      <c r="Q119" s="166" t="n">
        <f aca="false">R119+S119</f>
        <v>0</v>
      </c>
      <c r="R119" s="166"/>
      <c r="S119" s="156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" hidden="false" customHeight="true" outlineLevel="0" collapsed="false">
      <c r="A120" s="17"/>
      <c r="B120" s="266" t="s">
        <v>85</v>
      </c>
      <c r="C120" s="266" t="s">
        <v>20</v>
      </c>
      <c r="D120" s="266"/>
      <c r="E120" s="266" t="s">
        <v>25</v>
      </c>
      <c r="F120" s="87"/>
      <c r="G120" s="146" t="s">
        <v>22</v>
      </c>
      <c r="H120" s="169" t="n">
        <v>11</v>
      </c>
      <c r="I120" s="148" t="n">
        <v>9</v>
      </c>
      <c r="J120" s="148" t="n">
        <v>9</v>
      </c>
      <c r="K120" s="149" t="n">
        <v>11358</v>
      </c>
      <c r="L120" s="149" t="n">
        <f aca="false">M120+N120</f>
        <v>3764.27</v>
      </c>
      <c r="M120" s="149" t="n">
        <v>3764.27</v>
      </c>
      <c r="N120" s="190"/>
      <c r="O120" s="151" t="n">
        <v>6</v>
      </c>
      <c r="P120" s="149" t="n">
        <v>70523.91</v>
      </c>
      <c r="Q120" s="149" t="n">
        <f aca="false">R120+S120</f>
        <v>57770.79</v>
      </c>
      <c r="R120" s="149" t="n">
        <v>57770.79</v>
      </c>
      <c r="S120" s="19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266"/>
      <c r="C121" s="266"/>
      <c r="D121" s="266"/>
      <c r="E121" s="266"/>
      <c r="F121" s="88"/>
      <c r="G121" s="152" t="s">
        <v>26</v>
      </c>
      <c r="H121" s="153" t="s">
        <v>290</v>
      </c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17"/>
      <c r="B122" s="196" t="s">
        <v>86</v>
      </c>
      <c r="C122" s="196" t="s">
        <v>33</v>
      </c>
      <c r="D122" s="196" t="s">
        <v>87</v>
      </c>
      <c r="E122" s="196" t="s">
        <v>88</v>
      </c>
      <c r="F122" s="267"/>
      <c r="G122" s="146" t="s">
        <v>22</v>
      </c>
      <c r="H122" s="169" t="n">
        <v>49</v>
      </c>
      <c r="I122" s="148" t="n">
        <v>40</v>
      </c>
      <c r="J122" s="148" t="n">
        <v>51</v>
      </c>
      <c r="K122" s="149" t="n">
        <v>69056.31</v>
      </c>
      <c r="L122" s="149" t="n">
        <f aca="false">M122+N122</f>
        <v>62684.19</v>
      </c>
      <c r="M122" s="149" t="n">
        <v>62684.19</v>
      </c>
      <c r="N122" s="190"/>
      <c r="O122" s="151" t="n">
        <v>17</v>
      </c>
      <c r="P122" s="149" t="n">
        <v>27273.72</v>
      </c>
      <c r="Q122" s="149" t="n">
        <f aca="false">R122+S122</f>
        <v>27273.72</v>
      </c>
      <c r="R122" s="149" t="n">
        <v>27273.72</v>
      </c>
      <c r="S122" s="190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17"/>
      <c r="B123" s="196"/>
      <c r="C123" s="196"/>
      <c r="D123" s="196"/>
      <c r="E123" s="196"/>
      <c r="F123" s="52" t="s">
        <v>238</v>
      </c>
      <c r="G123" s="164" t="s">
        <v>23</v>
      </c>
      <c r="H123" s="171" t="n">
        <v>30</v>
      </c>
      <c r="I123" s="165" t="n">
        <v>20</v>
      </c>
      <c r="J123" s="165" t="n">
        <v>20</v>
      </c>
      <c r="K123" s="166" t="n">
        <v>25732.09</v>
      </c>
      <c r="L123" s="166" t="n">
        <f aca="false">M123+N123</f>
        <v>25732.09</v>
      </c>
      <c r="M123" s="166" t="n">
        <v>25732.09</v>
      </c>
      <c r="N123" s="156"/>
      <c r="O123" s="168" t="n">
        <v>14</v>
      </c>
      <c r="P123" s="166" t="n">
        <v>28735.2</v>
      </c>
      <c r="Q123" s="166" t="n">
        <f aca="false">R123+S123</f>
        <v>28735.2</v>
      </c>
      <c r="R123" s="166" t="n">
        <v>28735.2</v>
      </c>
      <c r="S123" s="156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" hidden="false" customHeight="true" outlineLevel="0" collapsed="false">
      <c r="A124" s="17"/>
      <c r="B124" s="266" t="s">
        <v>89</v>
      </c>
      <c r="C124" s="266" t="s">
        <v>20</v>
      </c>
      <c r="D124" s="266" t="s">
        <v>90</v>
      </c>
      <c r="E124" s="266" t="s">
        <v>42</v>
      </c>
      <c r="F124" s="267"/>
      <c r="G124" s="146" t="s">
        <v>22</v>
      </c>
      <c r="H124" s="159" t="n">
        <v>37</v>
      </c>
      <c r="I124" s="148" t="n">
        <v>27</v>
      </c>
      <c r="J124" s="148" t="n">
        <v>38</v>
      </c>
      <c r="K124" s="149" t="n">
        <v>153374.47</v>
      </c>
      <c r="L124" s="149" t="n">
        <f aca="false">M124+N124</f>
        <v>135956</v>
      </c>
      <c r="M124" s="149" t="n">
        <v>135956</v>
      </c>
      <c r="N124" s="190"/>
      <c r="O124" s="151" t="n">
        <v>24</v>
      </c>
      <c r="P124" s="149" t="n">
        <v>86775.94</v>
      </c>
      <c r="Q124" s="149" t="n">
        <f aca="false">R124+S124</f>
        <v>86775.94</v>
      </c>
      <c r="R124" s="149" t="n">
        <v>86775.94</v>
      </c>
      <c r="S124" s="190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266"/>
      <c r="C125" s="266"/>
      <c r="D125" s="266"/>
      <c r="E125" s="266"/>
      <c r="F125" s="218" t="s">
        <v>239</v>
      </c>
      <c r="G125" s="152" t="s">
        <v>23</v>
      </c>
      <c r="H125" s="153"/>
      <c r="I125" s="154"/>
      <c r="J125" s="154"/>
      <c r="K125" s="155"/>
      <c r="L125" s="155" t="n">
        <f aca="false">M125+N125</f>
        <v>0</v>
      </c>
      <c r="M125" s="155"/>
      <c r="N125" s="156"/>
      <c r="O125" s="157"/>
      <c r="P125" s="155"/>
      <c r="Q125" s="155" t="n">
        <f aca="false">R125+S125</f>
        <v>0</v>
      </c>
      <c r="R125" s="155"/>
      <c r="S125" s="156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33"/>
      <c r="B126" s="188" t="s">
        <v>91</v>
      </c>
      <c r="C126" s="188" t="s">
        <v>33</v>
      </c>
      <c r="D126" s="188" t="s">
        <v>92</v>
      </c>
      <c r="E126" s="188" t="s">
        <v>25</v>
      </c>
      <c r="F126" s="192" t="s">
        <v>239</v>
      </c>
      <c r="G126" s="146" t="s">
        <v>22</v>
      </c>
      <c r="H126" s="159" t="n">
        <v>50</v>
      </c>
      <c r="I126" s="160" t="n">
        <v>32</v>
      </c>
      <c r="J126" s="160" t="n">
        <v>34</v>
      </c>
      <c r="K126" s="161" t="n">
        <v>144184.09</v>
      </c>
      <c r="L126" s="161" t="n">
        <f aca="false">M126+N126</f>
        <v>58636.61</v>
      </c>
      <c r="M126" s="161" t="n">
        <v>58636.61</v>
      </c>
      <c r="N126" s="190"/>
      <c r="O126" s="163" t="n">
        <v>27</v>
      </c>
      <c r="P126" s="161" t="n">
        <v>208684.15</v>
      </c>
      <c r="Q126" s="161" t="n">
        <f aca="false">R126+S126</f>
        <v>143768.9</v>
      </c>
      <c r="R126" s="161" t="n">
        <v>143768.9</v>
      </c>
      <c r="S126" s="190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188"/>
      <c r="C127" s="188"/>
      <c r="D127" s="188"/>
      <c r="E127" s="188"/>
      <c r="F127" s="277"/>
      <c r="G127" s="187" t="s">
        <v>23</v>
      </c>
      <c r="H127" s="169"/>
      <c r="I127" s="188"/>
      <c r="J127" s="188"/>
      <c r="K127" s="189"/>
      <c r="L127" s="189" t="n">
        <f aca="false">M127+N127</f>
        <v>0</v>
      </c>
      <c r="M127" s="189"/>
      <c r="N127" s="167"/>
      <c r="O127" s="191"/>
      <c r="P127" s="189"/>
      <c r="Q127" s="189" t="n">
        <f aca="false">R127+S127</f>
        <v>0</v>
      </c>
      <c r="R127" s="189"/>
      <c r="S127" s="167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188"/>
      <c r="C128" s="188"/>
      <c r="D128" s="188"/>
      <c r="E128" s="188"/>
      <c r="F128" s="52" t="s">
        <v>187</v>
      </c>
      <c r="G128" s="164" t="s">
        <v>26</v>
      </c>
      <c r="H128" s="171" t="n">
        <v>5</v>
      </c>
      <c r="I128" s="165" t="n">
        <v>2</v>
      </c>
      <c r="J128" s="165" t="n">
        <v>4</v>
      </c>
      <c r="K128" s="166" t="n">
        <v>10364.86</v>
      </c>
      <c r="L128" s="166" t="n">
        <f aca="false">M128+N128</f>
        <v>6586.86</v>
      </c>
      <c r="M128" s="166" t="n">
        <v>6586.86</v>
      </c>
      <c r="N128" s="156"/>
      <c r="O128" s="168" t="n">
        <v>12</v>
      </c>
      <c r="P128" s="166" t="n">
        <v>51305.88</v>
      </c>
      <c r="Q128" s="166" t="n">
        <f aca="false">R128+S128</f>
        <v>53226.88</v>
      </c>
      <c r="R128" s="166" t="n">
        <v>53226.88</v>
      </c>
      <c r="S128" s="156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.75" hidden="false" customHeight="true" outlineLevel="0" collapsed="false">
      <c r="A129" s="17"/>
      <c r="B129" s="266" t="s">
        <v>93</v>
      </c>
      <c r="C129" s="266" t="s">
        <v>20</v>
      </c>
      <c r="D129" s="269"/>
      <c r="E129" s="266" t="s">
        <v>50</v>
      </c>
      <c r="F129" s="87"/>
      <c r="G129" s="146" t="s">
        <v>22</v>
      </c>
      <c r="H129" s="169" t="n">
        <v>9</v>
      </c>
      <c r="I129" s="148"/>
      <c r="J129" s="148"/>
      <c r="K129" s="149"/>
      <c r="L129" s="149" t="n">
        <f aca="false">M129+N129</f>
        <v>0</v>
      </c>
      <c r="M129" s="149"/>
      <c r="N129" s="190"/>
      <c r="O129" s="151"/>
      <c r="P129" s="149"/>
      <c r="Q129" s="149" t="n">
        <f aca="false">R129+S129</f>
        <v>0</v>
      </c>
      <c r="R129" s="149"/>
      <c r="S129" s="19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266"/>
      <c r="C130" s="266"/>
      <c r="D130" s="266"/>
      <c r="E130" s="266"/>
      <c r="F130" s="88" t="s">
        <v>188</v>
      </c>
      <c r="G130" s="152" t="s">
        <v>26</v>
      </c>
      <c r="H130" s="171" t="n">
        <v>7</v>
      </c>
      <c r="I130" s="154"/>
      <c r="J130" s="154"/>
      <c r="K130" s="155"/>
      <c r="L130" s="155" t="n">
        <f aca="false">M130+N130</f>
        <v>0</v>
      </c>
      <c r="M130" s="155"/>
      <c r="N130" s="156"/>
      <c r="O130" s="157"/>
      <c r="P130" s="155"/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200" t="s">
        <v>94</v>
      </c>
      <c r="C131" s="200" t="s">
        <v>20</v>
      </c>
      <c r="D131" s="200"/>
      <c r="E131" s="200" t="s">
        <v>52</v>
      </c>
      <c r="F131" s="268"/>
      <c r="G131" s="158" t="s">
        <v>22</v>
      </c>
      <c r="H131" s="159" t="n">
        <v>11</v>
      </c>
      <c r="I131" s="160" t="n">
        <v>8</v>
      </c>
      <c r="J131" s="160" t="n">
        <v>11</v>
      </c>
      <c r="K131" s="161" t="n">
        <v>18458.69</v>
      </c>
      <c r="L131" s="161" t="n">
        <f aca="false">M131+N131</f>
        <v>9996.05</v>
      </c>
      <c r="M131" s="161" t="n">
        <v>9996.05</v>
      </c>
      <c r="N131" s="190"/>
      <c r="O131" s="163" t="n">
        <v>10</v>
      </c>
      <c r="P131" s="161" t="n">
        <v>26604.95</v>
      </c>
      <c r="Q131" s="161" t="n">
        <f aca="false">R131+S131</f>
        <v>26604.95</v>
      </c>
      <c r="R131" s="161" t="n">
        <v>26604.95</v>
      </c>
      <c r="S131" s="190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200"/>
      <c r="C132" s="200"/>
      <c r="D132" s="200"/>
      <c r="E132" s="200"/>
      <c r="F132" s="52" t="s">
        <v>189</v>
      </c>
      <c r="G132" s="164" t="s">
        <v>26</v>
      </c>
      <c r="H132" s="171" t="n">
        <v>12</v>
      </c>
      <c r="I132" s="154" t="n">
        <v>2</v>
      </c>
      <c r="J132" s="154" t="n">
        <v>2</v>
      </c>
      <c r="K132" s="155" t="n">
        <v>8338</v>
      </c>
      <c r="L132" s="155" t="n">
        <f aca="false">M132+N132</f>
        <v>7829.4</v>
      </c>
      <c r="M132" s="155" t="n">
        <f aca="false">1938.2+5891.2</f>
        <v>7829.4</v>
      </c>
      <c r="N132" s="156"/>
      <c r="O132" s="157" t="n">
        <v>5</v>
      </c>
      <c r="P132" s="155" t="n">
        <v>16749.33</v>
      </c>
      <c r="Q132" s="155" t="n">
        <f aca="false">R132+S132</f>
        <v>16749.3</v>
      </c>
      <c r="R132" s="155" t="n">
        <f aca="false">1585.8+1585.8+6070.8+5041.6+2465.3</f>
        <v>16749.3</v>
      </c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188" t="s">
        <v>95</v>
      </c>
      <c r="C133" s="188" t="s">
        <v>33</v>
      </c>
      <c r="D133" s="188" t="s">
        <v>96</v>
      </c>
      <c r="E133" s="188" t="s">
        <v>88</v>
      </c>
      <c r="F133" s="193"/>
      <c r="G133" s="146" t="s">
        <v>22</v>
      </c>
      <c r="H133" s="159" t="n">
        <v>14</v>
      </c>
      <c r="I133" s="160" t="n">
        <v>9</v>
      </c>
      <c r="J133" s="192" t="n">
        <v>9</v>
      </c>
      <c r="K133" s="161" t="n">
        <v>25955.15</v>
      </c>
      <c r="L133" s="161" t="n">
        <f aca="false">M133+N133</f>
        <v>11316.44</v>
      </c>
      <c r="M133" s="161" t="n">
        <v>11316.44</v>
      </c>
      <c r="N133" s="190"/>
      <c r="O133" s="163" t="n">
        <v>2</v>
      </c>
      <c r="P133" s="161" t="n">
        <v>49549.93</v>
      </c>
      <c r="Q133" s="161" t="n">
        <f aca="false">R133+S133</f>
        <v>49549.93</v>
      </c>
      <c r="R133" s="161" t="n">
        <v>49549.93</v>
      </c>
      <c r="S133" s="190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188"/>
      <c r="C134" s="188"/>
      <c r="D134" s="188"/>
      <c r="E134" s="188"/>
      <c r="F134" s="52" t="s">
        <v>240</v>
      </c>
      <c r="G134" s="164" t="s">
        <v>23</v>
      </c>
      <c r="H134" s="171" t="n">
        <v>9</v>
      </c>
      <c r="I134" s="165" t="n">
        <v>4</v>
      </c>
      <c r="J134" s="165" t="n">
        <v>4</v>
      </c>
      <c r="K134" s="166" t="n">
        <v>2114.4</v>
      </c>
      <c r="L134" s="166" t="n">
        <f aca="false">M134+N134</f>
        <v>2114.4</v>
      </c>
      <c r="M134" s="166" t="n">
        <v>2114.4</v>
      </c>
      <c r="N134" s="156"/>
      <c r="O134" s="168" t="n">
        <v>1</v>
      </c>
      <c r="P134" s="166" t="n">
        <v>4405</v>
      </c>
      <c r="Q134" s="166" t="n">
        <f aca="false">R134+S134</f>
        <v>4405</v>
      </c>
      <c r="R134" s="166" t="n">
        <v>4405</v>
      </c>
      <c r="S134" s="156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196" t="s">
        <v>97</v>
      </c>
      <c r="C135" s="196" t="s">
        <v>20</v>
      </c>
      <c r="D135" s="196"/>
      <c r="E135" s="196" t="s">
        <v>98</v>
      </c>
      <c r="F135" s="267"/>
      <c r="G135" s="146" t="s">
        <v>22</v>
      </c>
      <c r="H135" s="159" t="n">
        <v>10</v>
      </c>
      <c r="I135" s="148" t="n">
        <v>8</v>
      </c>
      <c r="J135" s="148" t="n">
        <v>10</v>
      </c>
      <c r="K135" s="149" t="n">
        <v>22074.3</v>
      </c>
      <c r="L135" s="149" t="n">
        <f aca="false">M135+N135</f>
        <v>22074.3</v>
      </c>
      <c r="M135" s="149" t="n">
        <v>22074.3</v>
      </c>
      <c r="N135" s="190"/>
      <c r="O135" s="151" t="n">
        <v>11</v>
      </c>
      <c r="P135" s="149" t="n">
        <v>46445.06</v>
      </c>
      <c r="Q135" s="149" t="n">
        <f aca="false">R135+S135</f>
        <v>46445.06</v>
      </c>
      <c r="R135" s="149" t="n">
        <v>46445.06</v>
      </c>
      <c r="S135" s="190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196"/>
      <c r="C136" s="196"/>
      <c r="D136" s="196"/>
      <c r="E136" s="196"/>
      <c r="F136" s="52" t="s">
        <v>241</v>
      </c>
      <c r="G136" s="164" t="s">
        <v>23</v>
      </c>
      <c r="H136" s="172" t="n">
        <v>25</v>
      </c>
      <c r="I136" s="165" t="n">
        <v>18</v>
      </c>
      <c r="J136" s="165" t="n">
        <v>18</v>
      </c>
      <c r="K136" s="166" t="n">
        <v>30306.9</v>
      </c>
      <c r="L136" s="166" t="n">
        <f aca="false">M136+N136</f>
        <v>30306.9</v>
      </c>
      <c r="M136" s="166" t="n">
        <v>30306.9</v>
      </c>
      <c r="N136" s="156"/>
      <c r="O136" s="168" t="n">
        <v>10</v>
      </c>
      <c r="P136" s="166" t="n">
        <v>21848.8</v>
      </c>
      <c r="Q136" s="166" t="n">
        <f aca="false">R136+S136</f>
        <v>21848.8</v>
      </c>
      <c r="R136" s="166" t="n">
        <v>21848.8</v>
      </c>
      <c r="S136" s="156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266" t="s">
        <v>156</v>
      </c>
      <c r="C137" s="266"/>
      <c r="D137" s="266"/>
      <c r="E137" s="266"/>
      <c r="F137" s="267"/>
      <c r="G137" s="146" t="s">
        <v>22</v>
      </c>
      <c r="H137" s="173" t="n">
        <v>40</v>
      </c>
      <c r="I137" s="148" t="n">
        <v>34</v>
      </c>
      <c r="J137" s="148" t="n">
        <v>47</v>
      </c>
      <c r="K137" s="149" t="n">
        <v>118393.66</v>
      </c>
      <c r="L137" s="149" t="n">
        <f aca="false">M137+N137</f>
        <v>99974.14</v>
      </c>
      <c r="M137" s="149" t="n">
        <v>99974.14</v>
      </c>
      <c r="N137" s="190"/>
      <c r="O137" s="151"/>
      <c r="P137" s="149"/>
      <c r="Q137" s="149" t="n">
        <f aca="false">R137+S137</f>
        <v>0</v>
      </c>
      <c r="R137" s="149"/>
      <c r="S137" s="19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266"/>
      <c r="C138" s="266"/>
      <c r="D138" s="266"/>
      <c r="E138" s="266"/>
      <c r="F138" s="277" t="s">
        <v>272</v>
      </c>
      <c r="G138" s="187" t="s">
        <v>26</v>
      </c>
      <c r="H138" s="172" t="n">
        <v>22</v>
      </c>
      <c r="I138" s="188" t="n">
        <v>6</v>
      </c>
      <c r="J138" s="188" t="n">
        <v>6</v>
      </c>
      <c r="K138" s="189" t="n">
        <v>6868.8</v>
      </c>
      <c r="L138" s="189" t="n">
        <f aca="false">M138+N138</f>
        <v>6790.4</v>
      </c>
      <c r="M138" s="189" t="n">
        <f aca="false">6790.4</f>
        <v>6790.4</v>
      </c>
      <c r="N138" s="167"/>
      <c r="O138" s="191"/>
      <c r="P138" s="189"/>
      <c r="Q138" s="189" t="n">
        <f aca="false">R138+S138</f>
        <v>0</v>
      </c>
      <c r="R138" s="189"/>
      <c r="S138" s="167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17"/>
      <c r="B139" s="266"/>
      <c r="C139" s="266"/>
      <c r="D139" s="266"/>
      <c r="E139" s="266"/>
      <c r="F139" s="272"/>
      <c r="G139" s="164" t="s">
        <v>23</v>
      </c>
      <c r="H139" s="177"/>
      <c r="I139" s="165"/>
      <c r="J139" s="165"/>
      <c r="K139" s="166"/>
      <c r="L139" s="166" t="n">
        <f aca="false">M139+N139</f>
        <v>0</v>
      </c>
      <c r="M139" s="166"/>
      <c r="N139" s="156"/>
      <c r="O139" s="168"/>
      <c r="P139" s="166"/>
      <c r="Q139" s="166" t="n">
        <f aca="false">R139+S139</f>
        <v>0</v>
      </c>
      <c r="R139" s="166"/>
      <c r="S139" s="156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17"/>
      <c r="B140" s="266" t="s">
        <v>190</v>
      </c>
      <c r="C140" s="266"/>
      <c r="D140" s="266"/>
      <c r="E140" s="266"/>
      <c r="F140" s="267"/>
      <c r="G140" s="146" t="s">
        <v>22</v>
      </c>
      <c r="H140" s="173" t="n">
        <v>14</v>
      </c>
      <c r="I140" s="148"/>
      <c r="J140" s="148"/>
      <c r="K140" s="149"/>
      <c r="L140" s="149" t="n">
        <f aca="false">M140+N140</f>
        <v>0</v>
      </c>
      <c r="M140" s="149"/>
      <c r="N140" s="190"/>
      <c r="O140" s="151"/>
      <c r="P140" s="149"/>
      <c r="Q140" s="149" t="n">
        <f aca="false">R140+S140</f>
        <v>0</v>
      </c>
      <c r="R140" s="149"/>
      <c r="S140" s="190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.75" hidden="false" customHeight="true" outlineLevel="0" collapsed="false">
      <c r="A141" s="17"/>
      <c r="B141" s="266"/>
      <c r="C141" s="266"/>
      <c r="D141" s="266"/>
      <c r="E141" s="266"/>
      <c r="F141" s="218" t="s">
        <v>242</v>
      </c>
      <c r="G141" s="152" t="s">
        <v>23</v>
      </c>
      <c r="H141" s="174" t="n">
        <v>4</v>
      </c>
      <c r="I141" s="154"/>
      <c r="J141" s="154"/>
      <c r="K141" s="155"/>
      <c r="L141" s="155" t="n">
        <f aca="false">M141+N141</f>
        <v>0</v>
      </c>
      <c r="M141" s="155"/>
      <c r="N141" s="156"/>
      <c r="O141" s="157"/>
      <c r="P141" s="155"/>
      <c r="Q141" s="155" t="n">
        <f aca="false">R141+S141</f>
        <v>0</v>
      </c>
      <c r="R141" s="155"/>
      <c r="S141" s="156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54"/>
      <c r="B142" s="200" t="s">
        <v>99</v>
      </c>
      <c r="C142" s="200" t="s">
        <v>33</v>
      </c>
      <c r="D142" s="200" t="s">
        <v>100</v>
      </c>
      <c r="E142" s="200" t="s">
        <v>101</v>
      </c>
      <c r="F142" s="268"/>
      <c r="G142" s="158" t="s">
        <v>22</v>
      </c>
      <c r="H142" s="159" t="n">
        <v>28</v>
      </c>
      <c r="I142" s="160" t="n">
        <v>22</v>
      </c>
      <c r="J142" s="160" t="n">
        <v>24</v>
      </c>
      <c r="K142" s="161" t="n">
        <v>15732.83</v>
      </c>
      <c r="L142" s="161" t="n">
        <f aca="false">M142+N142</f>
        <v>13959.5</v>
      </c>
      <c r="M142" s="161" t="n">
        <v>13959.5</v>
      </c>
      <c r="N142" s="190"/>
      <c r="O142" s="163" t="n">
        <v>26</v>
      </c>
      <c r="P142" s="161" t="n">
        <v>58665.77</v>
      </c>
      <c r="Q142" s="161" t="n">
        <f aca="false">R142+S142</f>
        <v>56744.77</v>
      </c>
      <c r="R142" s="161" t="n">
        <v>56744.77</v>
      </c>
      <c r="S142" s="190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.75" hidden="false" customHeight="true" outlineLevel="0" collapsed="false">
      <c r="A143" s="54"/>
      <c r="B143" s="200"/>
      <c r="C143" s="200"/>
      <c r="D143" s="200"/>
      <c r="E143" s="200"/>
      <c r="F143" s="278" t="s">
        <v>191</v>
      </c>
      <c r="G143" s="180" t="s">
        <v>26</v>
      </c>
      <c r="H143" s="169" t="n">
        <v>21</v>
      </c>
      <c r="I143" s="181" t="n">
        <v>9</v>
      </c>
      <c r="J143" s="181" t="n">
        <v>9</v>
      </c>
      <c r="K143" s="182" t="n">
        <v>9371.17</v>
      </c>
      <c r="L143" s="182" t="n">
        <f aca="false">M143+N143</f>
        <v>6970.25</v>
      </c>
      <c r="M143" s="182" t="n">
        <v>6970.25</v>
      </c>
      <c r="N143" s="167"/>
      <c r="O143" s="184" t="n">
        <v>4</v>
      </c>
      <c r="P143" s="182" t="n">
        <v>7896.2</v>
      </c>
      <c r="Q143" s="161" t="n">
        <f aca="false">R143+S143</f>
        <v>7896.2</v>
      </c>
      <c r="R143" s="182" t="n">
        <f aca="false">1673.9+3700.2+1233.4+1288.7</f>
        <v>7896.2</v>
      </c>
      <c r="S143" s="167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54"/>
      <c r="B144" s="200"/>
      <c r="C144" s="200"/>
      <c r="D144" s="200"/>
      <c r="E144" s="200"/>
      <c r="F144" s="52"/>
      <c r="G144" s="164" t="s">
        <v>23</v>
      </c>
      <c r="H144" s="175"/>
      <c r="I144" s="165"/>
      <c r="J144" s="165"/>
      <c r="K144" s="166"/>
      <c r="L144" s="166" t="n">
        <f aca="false">M144+N144</f>
        <v>0</v>
      </c>
      <c r="M144" s="166"/>
      <c r="N144" s="156"/>
      <c r="O144" s="168"/>
      <c r="P144" s="166"/>
      <c r="Q144" s="166" t="n">
        <f aca="false">R144+S144</f>
        <v>0</v>
      </c>
      <c r="R144" s="166"/>
      <c r="S144" s="156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266" t="s">
        <v>224</v>
      </c>
      <c r="C145" s="266"/>
      <c r="D145" s="266"/>
      <c r="E145" s="266"/>
      <c r="F145" s="267"/>
      <c r="G145" s="146" t="s">
        <v>22</v>
      </c>
      <c r="H145" s="147" t="n">
        <v>11</v>
      </c>
      <c r="I145" s="148" t="n">
        <v>8</v>
      </c>
      <c r="J145" s="148" t="n">
        <v>10</v>
      </c>
      <c r="K145" s="149" t="n">
        <v>9888.03</v>
      </c>
      <c r="L145" s="149" t="n">
        <f aca="false">M145+N145</f>
        <v>8735.43</v>
      </c>
      <c r="M145" s="149" t="n">
        <v>8735.43</v>
      </c>
      <c r="N145" s="190"/>
      <c r="O145" s="151"/>
      <c r="P145" s="149"/>
      <c r="Q145" s="149" t="n">
        <f aca="false">R145+S145</f>
        <v>0</v>
      </c>
      <c r="R145" s="149"/>
      <c r="S145" s="19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266"/>
      <c r="C146" s="266"/>
      <c r="D146" s="266"/>
      <c r="E146" s="266"/>
      <c r="F146" s="218" t="s">
        <v>273</v>
      </c>
      <c r="G146" s="152" t="s">
        <v>26</v>
      </c>
      <c r="H146" s="176" t="n">
        <v>10</v>
      </c>
      <c r="I146" s="154" t="n">
        <v>1</v>
      </c>
      <c r="J146" s="154" t="n">
        <v>1</v>
      </c>
      <c r="K146" s="155" t="n">
        <v>2209.2</v>
      </c>
      <c r="L146" s="155" t="n">
        <f aca="false">M146+N146</f>
        <v>2209.2</v>
      </c>
      <c r="M146" s="155" t="n">
        <f aca="false">2209.2</f>
        <v>2209.2</v>
      </c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33"/>
      <c r="B147" s="188" t="s">
        <v>102</v>
      </c>
      <c r="C147" s="188" t="s">
        <v>20</v>
      </c>
      <c r="D147" s="188"/>
      <c r="E147" s="188" t="s">
        <v>25</v>
      </c>
      <c r="F147" s="268"/>
      <c r="G147" s="158" t="s">
        <v>22</v>
      </c>
      <c r="H147" s="169" t="n">
        <v>29</v>
      </c>
      <c r="I147" s="160" t="n">
        <v>27</v>
      </c>
      <c r="J147" s="160" t="n">
        <v>28</v>
      </c>
      <c r="K147" s="161" t="n">
        <v>35824.01</v>
      </c>
      <c r="L147" s="161" t="n">
        <f aca="false">M147+N147</f>
        <v>28785.94</v>
      </c>
      <c r="M147" s="161" t="n">
        <v>28785.94</v>
      </c>
      <c r="N147" s="190"/>
      <c r="O147" s="163" t="n">
        <v>10</v>
      </c>
      <c r="P147" s="161" t="n">
        <v>36383.86</v>
      </c>
      <c r="Q147" s="161" t="n">
        <f aca="false">R147+S147</f>
        <v>31735.04</v>
      </c>
      <c r="R147" s="161" t="n">
        <v>31735.04</v>
      </c>
      <c r="S147" s="190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33"/>
      <c r="B148" s="188"/>
      <c r="C148" s="188"/>
      <c r="D148" s="188"/>
      <c r="E148" s="188"/>
      <c r="F148" s="52" t="s">
        <v>192</v>
      </c>
      <c r="G148" s="164" t="s">
        <v>26</v>
      </c>
      <c r="H148" s="153" t="n">
        <v>11</v>
      </c>
      <c r="I148" s="165" t="n">
        <v>3</v>
      </c>
      <c r="J148" s="165" t="n">
        <v>3</v>
      </c>
      <c r="K148" s="166" t="n">
        <v>12202.9</v>
      </c>
      <c r="L148" s="166" t="n">
        <f aca="false">M148+N148</f>
        <v>6871.8</v>
      </c>
      <c r="M148" s="166" t="n">
        <f aca="false">6871.8</f>
        <v>6871.8</v>
      </c>
      <c r="N148" s="156"/>
      <c r="O148" s="168" t="n">
        <v>8</v>
      </c>
      <c r="P148" s="166" t="n">
        <v>14509.2</v>
      </c>
      <c r="Q148" s="166" t="n">
        <f aca="false">R148+S148</f>
        <v>14509.2</v>
      </c>
      <c r="R148" s="166" t="n">
        <f aca="false">11931.8+1288.7+1288.7</f>
        <v>14509.2</v>
      </c>
      <c r="S148" s="156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266" t="s">
        <v>103</v>
      </c>
      <c r="C149" s="266" t="s">
        <v>20</v>
      </c>
      <c r="D149" s="266"/>
      <c r="E149" s="266" t="s">
        <v>52</v>
      </c>
      <c r="F149" s="267"/>
      <c r="G149" s="146" t="s">
        <v>22</v>
      </c>
      <c r="H149" s="169" t="n">
        <v>10</v>
      </c>
      <c r="I149" s="148" t="n">
        <v>8</v>
      </c>
      <c r="J149" s="148" t="n">
        <v>12</v>
      </c>
      <c r="K149" s="149" t="n">
        <v>30341.92</v>
      </c>
      <c r="L149" s="149" t="n">
        <f aca="false">M149+N149</f>
        <v>27095.98</v>
      </c>
      <c r="M149" s="149" t="n">
        <v>27095.98</v>
      </c>
      <c r="N149" s="190"/>
      <c r="O149" s="151" t="n">
        <v>13</v>
      </c>
      <c r="P149" s="149" t="n">
        <v>70014.67</v>
      </c>
      <c r="Q149" s="149" t="n">
        <f aca="false">R149+S149</f>
        <v>67817.02</v>
      </c>
      <c r="R149" s="149" t="n">
        <v>67817.02</v>
      </c>
      <c r="S149" s="19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.75" hidden="false" customHeight="true" outlineLevel="0" collapsed="false">
      <c r="A150" s="17"/>
      <c r="B150" s="266"/>
      <c r="C150" s="266"/>
      <c r="D150" s="266"/>
      <c r="E150" s="266"/>
      <c r="F150" s="52" t="s">
        <v>193</v>
      </c>
      <c r="G150" s="164" t="s">
        <v>26</v>
      </c>
      <c r="H150" s="172" t="n">
        <v>11</v>
      </c>
      <c r="I150" s="165" t="n">
        <v>4</v>
      </c>
      <c r="J150" s="165" t="n">
        <v>4</v>
      </c>
      <c r="K150" s="166" t="n">
        <v>11668.8</v>
      </c>
      <c r="L150" s="166" t="n">
        <f aca="false">M150+N150</f>
        <v>9695.1</v>
      </c>
      <c r="M150" s="166" t="n">
        <v>9695.1</v>
      </c>
      <c r="N150" s="167"/>
      <c r="O150" s="168" t="n">
        <v>9</v>
      </c>
      <c r="P150" s="166" t="n">
        <v>30571</v>
      </c>
      <c r="Q150" s="166" t="n">
        <f aca="false">R150+S150</f>
        <v>25320.2</v>
      </c>
      <c r="R150" s="166" t="n">
        <v>25320.2</v>
      </c>
      <c r="S150" s="167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17"/>
      <c r="B151" s="266" t="s">
        <v>294</v>
      </c>
      <c r="C151" s="266"/>
      <c r="D151" s="266"/>
      <c r="E151" s="266"/>
      <c r="F151" s="193"/>
      <c r="G151" s="146" t="s">
        <v>22</v>
      </c>
      <c r="H151" s="147" t="n">
        <v>4</v>
      </c>
      <c r="I151" s="148" t="n">
        <v>3</v>
      </c>
      <c r="J151" s="148" t="n">
        <v>4</v>
      </c>
      <c r="K151" s="149" t="n">
        <v>21552.4</v>
      </c>
      <c r="L151" s="149" t="n">
        <f aca="false">M151+N151</f>
        <v>1834.44</v>
      </c>
      <c r="M151" s="149" t="n">
        <v>1834.44</v>
      </c>
      <c r="N151" s="224"/>
      <c r="O151" s="151"/>
      <c r="P151" s="149"/>
      <c r="Q151" s="149" t="n">
        <f aca="false">R151+S151</f>
        <v>0</v>
      </c>
      <c r="R151" s="149"/>
      <c r="S151" s="150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17"/>
      <c r="B152" s="266"/>
      <c r="C152" s="266"/>
      <c r="D152" s="266"/>
      <c r="E152" s="266"/>
      <c r="F152" s="218"/>
      <c r="G152" s="152" t="s">
        <v>26</v>
      </c>
      <c r="H152" s="176" t="n">
        <v>8</v>
      </c>
      <c r="I152" s="154" t="n">
        <v>5</v>
      </c>
      <c r="J152" s="154" t="n">
        <v>5</v>
      </c>
      <c r="K152" s="155" t="n">
        <v>16753.59</v>
      </c>
      <c r="L152" s="155" t="n">
        <f aca="false">M152+N152</f>
        <v>3534.72</v>
      </c>
      <c r="M152" s="155" t="n">
        <f aca="false">2430.12+1104.6</f>
        <v>3534.72</v>
      </c>
      <c r="N152" s="226"/>
      <c r="O152" s="157"/>
      <c r="P152" s="155"/>
      <c r="Q152" s="155" t="n">
        <f aca="false">R152+S152</f>
        <v>0</v>
      </c>
      <c r="R152" s="155"/>
      <c r="S152" s="156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true" outlineLevel="0" collapsed="false">
      <c r="A153" s="54"/>
      <c r="B153" s="200" t="s">
        <v>104</v>
      </c>
      <c r="C153" s="200" t="s">
        <v>20</v>
      </c>
      <c r="D153" s="200"/>
      <c r="E153" s="200" t="s">
        <v>25</v>
      </c>
      <c r="F153" s="192"/>
      <c r="G153" s="158" t="s">
        <v>22</v>
      </c>
      <c r="H153" s="169" t="n">
        <v>4</v>
      </c>
      <c r="I153" s="160" t="n">
        <v>3</v>
      </c>
      <c r="J153" s="160" t="n">
        <v>3</v>
      </c>
      <c r="K153" s="161" t="n">
        <v>24319.62</v>
      </c>
      <c r="L153" s="161" t="n">
        <f aca="false">M153+N153</f>
        <v>24319.62</v>
      </c>
      <c r="M153" s="161" t="n">
        <v>24319.62</v>
      </c>
      <c r="N153" s="190"/>
      <c r="O153" s="163" t="n">
        <v>5</v>
      </c>
      <c r="P153" s="161" t="n">
        <v>67396.33</v>
      </c>
      <c r="Q153" s="161" t="n">
        <f aca="false">R153+S153</f>
        <v>64899.03</v>
      </c>
      <c r="R153" s="161" t="n">
        <v>64899.03</v>
      </c>
      <c r="S153" s="190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.75" hidden="false" customHeight="true" outlineLevel="0" collapsed="false">
      <c r="A154" s="54"/>
      <c r="B154" s="200"/>
      <c r="C154" s="200"/>
      <c r="D154" s="200"/>
      <c r="E154" s="200"/>
      <c r="F154" s="52" t="s">
        <v>281</v>
      </c>
      <c r="G154" s="164" t="s">
        <v>26</v>
      </c>
      <c r="H154" s="175" t="n">
        <v>4</v>
      </c>
      <c r="I154" s="165"/>
      <c r="J154" s="165"/>
      <c r="K154" s="166"/>
      <c r="L154" s="166" t="n">
        <f aca="false">M154+N154</f>
        <v>0</v>
      </c>
      <c r="M154" s="166"/>
      <c r="N154" s="167"/>
      <c r="O154" s="168"/>
      <c r="P154" s="166"/>
      <c r="Q154" s="166" t="n">
        <f aca="false">R154+S154</f>
        <v>0</v>
      </c>
      <c r="R154" s="166"/>
      <c r="S154" s="167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266" t="s">
        <v>304</v>
      </c>
      <c r="C155" s="266"/>
      <c r="D155" s="266"/>
      <c r="E155" s="266" t="s">
        <v>25</v>
      </c>
      <c r="F155" s="267"/>
      <c r="G155" s="21" t="s">
        <v>22</v>
      </c>
      <c r="H155" s="21" t="n">
        <v>4</v>
      </c>
      <c r="I155" s="148" t="n">
        <v>2</v>
      </c>
      <c r="J155" s="148" t="n">
        <v>2</v>
      </c>
      <c r="K155" s="149" t="n">
        <v>7305.59</v>
      </c>
      <c r="L155" s="149" t="n">
        <f aca="false">M155+N155</f>
        <v>7305.59</v>
      </c>
      <c r="M155" s="149" t="n">
        <v>7305.59</v>
      </c>
      <c r="N155" s="149"/>
      <c r="O155" s="148"/>
      <c r="P155" s="149"/>
      <c r="Q155" s="149" t="n">
        <f aca="false">R155+S155</f>
        <v>0</v>
      </c>
      <c r="R155" s="149"/>
      <c r="S155" s="150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.75" hidden="false" customHeight="true" outlineLevel="0" collapsed="false">
      <c r="A156" s="17"/>
      <c r="B156" s="266"/>
      <c r="C156" s="266"/>
      <c r="D156" s="266"/>
      <c r="E156" s="266"/>
      <c r="F156" s="270"/>
      <c r="G156" s="27" t="s">
        <v>26</v>
      </c>
      <c r="H156" s="27"/>
      <c r="I156" s="154"/>
      <c r="J156" s="154"/>
      <c r="K156" s="155"/>
      <c r="L156" s="155" t="n">
        <f aca="false">M156+N156</f>
        <v>0</v>
      </c>
      <c r="M156" s="155"/>
      <c r="N156" s="155"/>
      <c r="O156" s="154"/>
      <c r="P156" s="155"/>
      <c r="Q156" s="155" t="n">
        <f aca="false">R156+S156</f>
        <v>0</v>
      </c>
      <c r="R156" s="155"/>
      <c r="S156" s="156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.75" hidden="false" customHeight="true" outlineLevel="0" collapsed="false">
      <c r="A157" s="33"/>
      <c r="B157" s="188" t="s">
        <v>105</v>
      </c>
      <c r="C157" s="188" t="s">
        <v>33</v>
      </c>
      <c r="D157" s="188" t="s">
        <v>106</v>
      </c>
      <c r="E157" s="188" t="s">
        <v>107</v>
      </c>
      <c r="F157" s="268"/>
      <c r="G157" s="158" t="s">
        <v>22</v>
      </c>
      <c r="H157" s="169" t="n">
        <v>9</v>
      </c>
      <c r="I157" s="160" t="n">
        <v>8</v>
      </c>
      <c r="J157" s="160" t="n">
        <v>9</v>
      </c>
      <c r="K157" s="161" t="n">
        <v>26432.7</v>
      </c>
      <c r="L157" s="161" t="n">
        <f aca="false">M157+N157</f>
        <v>2479.18</v>
      </c>
      <c r="M157" s="161" t="n">
        <v>2479.18</v>
      </c>
      <c r="N157" s="190"/>
      <c r="O157" s="163" t="n">
        <v>16</v>
      </c>
      <c r="P157" s="161" t="n">
        <v>66206.12</v>
      </c>
      <c r="Q157" s="161" t="n">
        <f aca="false">R157+S157</f>
        <v>62497.26</v>
      </c>
      <c r="R157" s="161" t="n">
        <v>62497.26</v>
      </c>
      <c r="S157" s="190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.75" hidden="false" customHeight="true" outlineLevel="0" collapsed="false">
      <c r="A158" s="33"/>
      <c r="B158" s="188"/>
      <c r="C158" s="188"/>
      <c r="D158" s="188"/>
      <c r="E158" s="188"/>
      <c r="F158" s="52" t="s">
        <v>194</v>
      </c>
      <c r="G158" s="164" t="s">
        <v>26</v>
      </c>
      <c r="H158" s="153" t="n">
        <v>2</v>
      </c>
      <c r="I158" s="165" t="n">
        <v>1</v>
      </c>
      <c r="J158" s="165" t="n">
        <v>1</v>
      </c>
      <c r="K158" s="166" t="n">
        <v>1288.7</v>
      </c>
      <c r="L158" s="161" t="n">
        <f aca="false">M158+N158</f>
        <v>1288.7</v>
      </c>
      <c r="M158" s="166" t="n">
        <f aca="false">1288.7</f>
        <v>1288.7</v>
      </c>
      <c r="N158" s="156"/>
      <c r="O158" s="168" t="n">
        <v>9</v>
      </c>
      <c r="P158" s="166" t="n">
        <v>25374.06</v>
      </c>
      <c r="Q158" s="166" t="n">
        <f aca="false">R158+S158</f>
        <v>22795.7</v>
      </c>
      <c r="R158" s="166" t="n">
        <v>22795.7</v>
      </c>
      <c r="S158" s="156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72"/>
      <c r="B159" s="196" t="s">
        <v>108</v>
      </c>
      <c r="C159" s="196" t="s">
        <v>33</v>
      </c>
      <c r="D159" s="196" t="s">
        <v>109</v>
      </c>
      <c r="E159" s="196" t="s">
        <v>25</v>
      </c>
      <c r="F159" s="267"/>
      <c r="G159" s="146" t="s">
        <v>22</v>
      </c>
      <c r="H159" s="159" t="n">
        <v>19</v>
      </c>
      <c r="I159" s="148" t="n">
        <v>16</v>
      </c>
      <c r="J159" s="148" t="n">
        <v>21</v>
      </c>
      <c r="K159" s="149" t="n">
        <v>45710.62</v>
      </c>
      <c r="L159" s="149" t="n">
        <f aca="false">M159+N159</f>
        <v>42505.62</v>
      </c>
      <c r="M159" s="149" t="n">
        <v>42505.62</v>
      </c>
      <c r="N159" s="190"/>
      <c r="O159" s="151" t="n">
        <v>25</v>
      </c>
      <c r="P159" s="149" t="n">
        <v>57527.58</v>
      </c>
      <c r="Q159" s="149" t="n">
        <f aca="false">R159+S159</f>
        <v>53205.2</v>
      </c>
      <c r="R159" s="149" t="n">
        <v>53205.2</v>
      </c>
      <c r="S159" s="190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.75" hidden="false" customHeight="true" outlineLevel="0" collapsed="false">
      <c r="A160" s="72"/>
      <c r="B160" s="196"/>
      <c r="C160" s="196"/>
      <c r="D160" s="196"/>
      <c r="E160" s="196"/>
      <c r="F160" s="52" t="s">
        <v>195</v>
      </c>
      <c r="G160" s="164" t="s">
        <v>26</v>
      </c>
      <c r="H160" s="171" t="n">
        <v>9</v>
      </c>
      <c r="I160" s="165" t="n">
        <v>9</v>
      </c>
      <c r="J160" s="165" t="n">
        <v>9</v>
      </c>
      <c r="K160" s="166" t="n">
        <v>30395.78</v>
      </c>
      <c r="L160" s="166" t="n">
        <f aca="false">M160+N160</f>
        <v>21996.5</v>
      </c>
      <c r="M160" s="166" t="n">
        <v>21996.5</v>
      </c>
      <c r="N160" s="156"/>
      <c r="O160" s="157" t="n">
        <v>18</v>
      </c>
      <c r="P160" s="155" t="n">
        <v>73281.66</v>
      </c>
      <c r="Q160" s="155" t="n">
        <f aca="false">R160+S160</f>
        <v>79909.26</v>
      </c>
      <c r="R160" s="155" t="n">
        <v>79909.26</v>
      </c>
      <c r="S160" s="156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.75" hidden="false" customHeight="true" outlineLevel="0" collapsed="false">
      <c r="A161" s="17"/>
      <c r="B161" s="266" t="s">
        <v>110</v>
      </c>
      <c r="C161" s="266" t="s">
        <v>33</v>
      </c>
      <c r="D161" s="266" t="s">
        <v>111</v>
      </c>
      <c r="E161" s="266" t="s">
        <v>25</v>
      </c>
      <c r="F161" s="267"/>
      <c r="G161" s="146" t="s">
        <v>22</v>
      </c>
      <c r="H161" s="159" t="n">
        <v>35</v>
      </c>
      <c r="I161" s="148" t="n">
        <v>30</v>
      </c>
      <c r="J161" s="193" t="n">
        <v>37</v>
      </c>
      <c r="K161" s="149" t="n">
        <v>56470.67</v>
      </c>
      <c r="L161" s="149" t="n">
        <f aca="false">M161+N161</f>
        <v>47537.67</v>
      </c>
      <c r="M161" s="149" t="n">
        <v>47537.67</v>
      </c>
      <c r="N161" s="190"/>
      <c r="O161" s="163" t="n">
        <v>23</v>
      </c>
      <c r="P161" s="161" t="n">
        <v>145256.82</v>
      </c>
      <c r="Q161" s="161" t="n">
        <f aca="false">R161+S161</f>
        <v>131257.29</v>
      </c>
      <c r="R161" s="161" t="n">
        <v>131257.29</v>
      </c>
      <c r="S161" s="190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.75" hidden="false" customHeight="true" outlineLevel="0" collapsed="false">
      <c r="A162" s="17"/>
      <c r="B162" s="266"/>
      <c r="C162" s="266"/>
      <c r="D162" s="266"/>
      <c r="E162" s="266"/>
      <c r="F162" s="52" t="s">
        <v>196</v>
      </c>
      <c r="G162" s="164" t="s">
        <v>26</v>
      </c>
      <c r="H162" s="175" t="n">
        <v>5</v>
      </c>
      <c r="I162" s="165" t="n">
        <v>5</v>
      </c>
      <c r="J162" s="165" t="n">
        <v>3</v>
      </c>
      <c r="K162" s="166" t="n">
        <v>12137.2</v>
      </c>
      <c r="L162" s="166" t="n">
        <f aca="false">M162+N162</f>
        <v>4234.3</v>
      </c>
      <c r="M162" s="166" t="n">
        <v>4234.3</v>
      </c>
      <c r="N162" s="167"/>
      <c r="O162" s="168" t="n">
        <v>1</v>
      </c>
      <c r="P162" s="166"/>
      <c r="Q162" s="166" t="n">
        <f aca="false">R162+S162</f>
        <v>0</v>
      </c>
      <c r="R162" s="166"/>
      <c r="S162" s="167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17"/>
      <c r="B163" s="279" t="s">
        <v>282</v>
      </c>
      <c r="C163" s="266" t="s">
        <v>33</v>
      </c>
      <c r="D163" s="266" t="s">
        <v>283</v>
      </c>
      <c r="E163" s="266" t="s">
        <v>284</v>
      </c>
      <c r="F163" s="267"/>
      <c r="G163" s="146" t="s">
        <v>22</v>
      </c>
      <c r="H163" s="173"/>
      <c r="I163" s="148"/>
      <c r="J163" s="148"/>
      <c r="K163" s="241"/>
      <c r="L163" s="241" t="n">
        <f aca="false">M163+N163</f>
        <v>0</v>
      </c>
      <c r="M163" s="241"/>
      <c r="N163" s="150"/>
      <c r="O163" s="206"/>
      <c r="P163" s="149"/>
      <c r="Q163" s="149" t="n">
        <f aca="false">R163+S163</f>
        <v>0</v>
      </c>
      <c r="R163" s="149"/>
      <c r="S163" s="150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.75" hidden="false" customHeight="true" outlineLevel="0" collapsed="false">
      <c r="A164" s="17"/>
      <c r="B164" s="279"/>
      <c r="C164" s="266"/>
      <c r="D164" s="266"/>
      <c r="E164" s="266"/>
      <c r="F164" s="218" t="s">
        <v>285</v>
      </c>
      <c r="G164" s="152" t="s">
        <v>23</v>
      </c>
      <c r="H164" s="174" t="n">
        <v>7</v>
      </c>
      <c r="I164" s="154" t="n">
        <v>3</v>
      </c>
      <c r="J164" s="154" t="n">
        <v>3</v>
      </c>
      <c r="K164" s="242" t="n">
        <v>3866.1</v>
      </c>
      <c r="L164" s="242" t="n">
        <f aca="false">M164+N164</f>
        <v>3866.1</v>
      </c>
      <c r="M164" s="242" t="n">
        <v>3866.1</v>
      </c>
      <c r="N164" s="156"/>
      <c r="O164" s="209"/>
      <c r="P164" s="155"/>
      <c r="Q164" s="155" t="n">
        <f aca="false">R164+S164</f>
        <v>0</v>
      </c>
      <c r="R164" s="155"/>
      <c r="S164" s="156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33"/>
      <c r="B165" s="188" t="s">
        <v>112</v>
      </c>
      <c r="C165" s="188" t="s">
        <v>20</v>
      </c>
      <c r="D165" s="188" t="s">
        <v>197</v>
      </c>
      <c r="E165" s="188" t="s">
        <v>25</v>
      </c>
      <c r="F165" s="268"/>
      <c r="G165" s="158" t="s">
        <v>22</v>
      </c>
      <c r="H165" s="159" t="n">
        <v>31</v>
      </c>
      <c r="I165" s="160" t="n">
        <v>31</v>
      </c>
      <c r="J165" s="160" t="n">
        <v>49</v>
      </c>
      <c r="K165" s="140" t="n">
        <v>124078.13</v>
      </c>
      <c r="L165" s="140" t="n">
        <f aca="false">M165+N165</f>
        <v>108625.49</v>
      </c>
      <c r="M165" s="140" t="n">
        <v>108625.49</v>
      </c>
      <c r="N165" s="190"/>
      <c r="O165" s="163" t="n">
        <v>8</v>
      </c>
      <c r="P165" s="161" t="n">
        <v>32481.19</v>
      </c>
      <c r="Q165" s="161" t="n">
        <f aca="false">R165+S165</f>
        <v>32481.19</v>
      </c>
      <c r="R165" s="161" t="n">
        <v>32481.19</v>
      </c>
      <c r="S165" s="190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188"/>
      <c r="C166" s="188"/>
      <c r="D166" s="188"/>
      <c r="E166" s="188"/>
      <c r="F166" s="218" t="s">
        <v>198</v>
      </c>
      <c r="G166" s="152" t="s">
        <v>26</v>
      </c>
      <c r="H166" s="171" t="n">
        <v>5</v>
      </c>
      <c r="I166" s="165" t="n">
        <v>1</v>
      </c>
      <c r="J166" s="165" t="n">
        <v>1</v>
      </c>
      <c r="K166" s="166" t="n">
        <v>1762</v>
      </c>
      <c r="L166" s="166" t="n">
        <f aca="false">M166+N166</f>
        <v>1321.5</v>
      </c>
      <c r="M166" s="166" t="n">
        <f aca="false">1321.5</f>
        <v>1321.5</v>
      </c>
      <c r="N166" s="156"/>
      <c r="O166" s="168" t="n">
        <v>4</v>
      </c>
      <c r="P166" s="166" t="n">
        <v>27663.4</v>
      </c>
      <c r="Q166" s="166" t="n">
        <f aca="false">R166+S166</f>
        <v>27663.4</v>
      </c>
      <c r="R166" s="166" t="n">
        <f aca="false">27663.4</f>
        <v>27663.4</v>
      </c>
      <c r="S166" s="156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" hidden="false" customHeight="true" outlineLevel="0" collapsed="false">
      <c r="A167" s="17"/>
      <c r="B167" s="266" t="s">
        <v>113</v>
      </c>
      <c r="C167" s="266" t="s">
        <v>20</v>
      </c>
      <c r="D167" s="266"/>
      <c r="E167" s="266" t="s">
        <v>31</v>
      </c>
      <c r="F167" s="268"/>
      <c r="G167" s="146" t="s">
        <v>22</v>
      </c>
      <c r="H167" s="159" t="n">
        <v>18</v>
      </c>
      <c r="I167" s="148" t="n">
        <v>15</v>
      </c>
      <c r="J167" s="148" t="n">
        <v>22</v>
      </c>
      <c r="K167" s="149" t="n">
        <v>59114.72</v>
      </c>
      <c r="L167" s="149" t="n">
        <f aca="false">M167+N167</f>
        <v>55355.63</v>
      </c>
      <c r="M167" s="149" t="n">
        <v>55355.63</v>
      </c>
      <c r="N167" s="190"/>
      <c r="O167" s="151" t="n">
        <v>10</v>
      </c>
      <c r="P167" s="149" t="n">
        <v>26895.77</v>
      </c>
      <c r="Q167" s="149" t="n">
        <f aca="false">R167+S167</f>
        <v>26895.77</v>
      </c>
      <c r="R167" s="149" t="n">
        <v>26895.77</v>
      </c>
      <c r="S167" s="190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266"/>
      <c r="C168" s="266"/>
      <c r="D168" s="266"/>
      <c r="E168" s="266"/>
      <c r="F168" s="270"/>
      <c r="G168" s="152" t="s">
        <v>26</v>
      </c>
      <c r="H168" s="153"/>
      <c r="I168" s="154"/>
      <c r="J168" s="154"/>
      <c r="K168" s="155"/>
      <c r="L168" s="155" t="n">
        <f aca="false">M168+N168</f>
        <v>0</v>
      </c>
      <c r="M168" s="155"/>
      <c r="N168" s="156"/>
      <c r="O168" s="157"/>
      <c r="P168" s="155"/>
      <c r="Q168" s="155" t="n">
        <f aca="false">R168+S168</f>
        <v>0</v>
      </c>
      <c r="R168" s="155"/>
      <c r="S168" s="156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" hidden="false" customHeight="true" outlineLevel="0" collapsed="false">
      <c r="A169" s="33"/>
      <c r="B169" s="188" t="s">
        <v>114</v>
      </c>
      <c r="C169" s="188" t="s">
        <v>20</v>
      </c>
      <c r="D169" s="275"/>
      <c r="E169" s="188" t="s">
        <v>25</v>
      </c>
      <c r="F169" s="272"/>
      <c r="G169" s="146" t="s">
        <v>22</v>
      </c>
      <c r="H169" s="169" t="n">
        <v>2</v>
      </c>
      <c r="I169" s="160"/>
      <c r="J169" s="160"/>
      <c r="K169" s="161"/>
      <c r="L169" s="161" t="n">
        <f aca="false">M169+N169</f>
        <v>0</v>
      </c>
      <c r="M169" s="161"/>
      <c r="N169" s="190"/>
      <c r="O169" s="163" t="n">
        <v>3</v>
      </c>
      <c r="P169" s="161" t="n">
        <v>5797.48</v>
      </c>
      <c r="Q169" s="161" t="n">
        <f aca="false">R169+S169</f>
        <v>5797.48</v>
      </c>
      <c r="R169" s="161" t="n">
        <v>5797.48</v>
      </c>
      <c r="S169" s="190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33"/>
      <c r="B170" s="188"/>
      <c r="C170" s="188"/>
      <c r="D170" s="188"/>
      <c r="E170" s="188"/>
      <c r="F170" s="52" t="s">
        <v>274</v>
      </c>
      <c r="G170" s="164" t="s">
        <v>26</v>
      </c>
      <c r="H170" s="175" t="n">
        <v>7</v>
      </c>
      <c r="I170" s="165" t="n">
        <v>5</v>
      </c>
      <c r="J170" s="165" t="n">
        <v>5</v>
      </c>
      <c r="K170" s="166" t="n">
        <v>5596.62</v>
      </c>
      <c r="L170" s="166" t="n">
        <f aca="false">M170+N170</f>
        <v>2692.53</v>
      </c>
      <c r="M170" s="166" t="n">
        <f aca="false">2692.53</f>
        <v>2692.53</v>
      </c>
      <c r="N170" s="156"/>
      <c r="O170" s="168"/>
      <c r="P170" s="166"/>
      <c r="Q170" s="166" t="n">
        <f aca="false">R170+S170</f>
        <v>0</v>
      </c>
      <c r="R170" s="166"/>
      <c r="S170" s="156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266" t="s">
        <v>243</v>
      </c>
      <c r="C171" s="219"/>
      <c r="D171" s="266"/>
      <c r="E171" s="266"/>
      <c r="F171" s="267"/>
      <c r="G171" s="146" t="s">
        <v>22</v>
      </c>
      <c r="H171" s="173" t="n">
        <v>5</v>
      </c>
      <c r="I171" s="148" t="n">
        <v>4</v>
      </c>
      <c r="J171" s="148" t="n">
        <v>4</v>
      </c>
      <c r="K171" s="149" t="n">
        <v>4602.74</v>
      </c>
      <c r="L171" s="149" t="n">
        <f aca="false">M171+N171</f>
        <v>4602.74</v>
      </c>
      <c r="M171" s="149" t="n">
        <v>4602.74</v>
      </c>
      <c r="N171" s="190"/>
      <c r="O171" s="206"/>
      <c r="P171" s="149"/>
      <c r="Q171" s="149" t="n">
        <f aca="false">R171+S171</f>
        <v>0</v>
      </c>
      <c r="R171" s="149"/>
      <c r="S171" s="190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17"/>
      <c r="B172" s="266"/>
      <c r="C172" s="266"/>
      <c r="D172" s="266"/>
      <c r="E172" s="266"/>
      <c r="F172" s="218" t="s">
        <v>275</v>
      </c>
      <c r="G172" s="152" t="s">
        <v>26</v>
      </c>
      <c r="H172" s="174" t="n">
        <v>7</v>
      </c>
      <c r="I172" s="154" t="n">
        <v>3</v>
      </c>
      <c r="J172" s="154" t="n">
        <v>3</v>
      </c>
      <c r="K172" s="155" t="n">
        <v>5614.24</v>
      </c>
      <c r="L172" s="155" t="n">
        <f aca="false">M172+N172</f>
        <v>5061.94</v>
      </c>
      <c r="M172" s="155" t="n">
        <f aca="false">5061.94</f>
        <v>5061.94</v>
      </c>
      <c r="N172" s="156"/>
      <c r="O172" s="209"/>
      <c r="P172" s="155"/>
      <c r="Q172" s="155" t="n">
        <f aca="false">R172+S172</f>
        <v>0</v>
      </c>
      <c r="R172" s="155"/>
      <c r="S172" s="156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54"/>
      <c r="B173" s="200" t="s">
        <v>200</v>
      </c>
      <c r="C173" s="220"/>
      <c r="D173" s="200"/>
      <c r="E173" s="200"/>
      <c r="F173" s="268"/>
      <c r="G173" s="158" t="s">
        <v>22</v>
      </c>
      <c r="H173" s="159" t="n">
        <v>32</v>
      </c>
      <c r="I173" s="160" t="n">
        <v>26</v>
      </c>
      <c r="J173" s="160" t="n">
        <v>31</v>
      </c>
      <c r="K173" s="161" t="n">
        <v>65157.65</v>
      </c>
      <c r="L173" s="161" t="n">
        <f aca="false">M173+N173</f>
        <v>62529.72</v>
      </c>
      <c r="M173" s="161" t="n">
        <v>62529.72</v>
      </c>
      <c r="N173" s="190"/>
      <c r="O173" s="163"/>
      <c r="P173" s="161"/>
      <c r="Q173" s="161" t="n">
        <f aca="false">R173+S173</f>
        <v>0</v>
      </c>
      <c r="R173" s="161"/>
      <c r="S173" s="190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.75" hidden="false" customHeight="true" outlineLevel="0" collapsed="false">
      <c r="A174" s="54"/>
      <c r="B174" s="200"/>
      <c r="C174" s="200"/>
      <c r="D174" s="200"/>
      <c r="E174" s="200"/>
      <c r="F174" s="270"/>
      <c r="G174" s="152" t="s">
        <v>26</v>
      </c>
      <c r="H174" s="174" t="n">
        <v>7</v>
      </c>
      <c r="I174" s="154" t="n">
        <v>5</v>
      </c>
      <c r="J174" s="154" t="n">
        <v>5</v>
      </c>
      <c r="K174" s="155" t="n">
        <v>9665.5</v>
      </c>
      <c r="L174" s="155" t="n">
        <f aca="false">M174+N174</f>
        <v>8512.9</v>
      </c>
      <c r="M174" s="155" t="n">
        <f aca="false">8512.9</f>
        <v>8512.9</v>
      </c>
      <c r="N174" s="156"/>
      <c r="O174" s="157"/>
      <c r="P174" s="155"/>
      <c r="Q174" s="155" t="n">
        <f aca="false">R174+S174</f>
        <v>0</v>
      </c>
      <c r="R174" s="155"/>
      <c r="S174" s="156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54"/>
      <c r="B175" s="200" t="s">
        <v>115</v>
      </c>
      <c r="C175" s="200" t="s">
        <v>20</v>
      </c>
      <c r="D175" s="200"/>
      <c r="E175" s="200" t="s">
        <v>116</v>
      </c>
      <c r="F175" s="268"/>
      <c r="G175" s="158" t="s">
        <v>22</v>
      </c>
      <c r="H175" s="159" t="n">
        <v>32</v>
      </c>
      <c r="I175" s="160" t="n">
        <v>25</v>
      </c>
      <c r="J175" s="160" t="n">
        <v>34</v>
      </c>
      <c r="K175" s="161" t="n">
        <v>41754.06</v>
      </c>
      <c r="L175" s="161" t="n">
        <f aca="false">M175+N175</f>
        <v>29092.64</v>
      </c>
      <c r="M175" s="161" t="n">
        <v>29092.64</v>
      </c>
      <c r="N175" s="190"/>
      <c r="O175" s="163" t="n">
        <v>24</v>
      </c>
      <c r="P175" s="161" t="n">
        <v>63326.02</v>
      </c>
      <c r="Q175" s="161" t="n">
        <f aca="false">R175+S175</f>
        <v>62192.17</v>
      </c>
      <c r="R175" s="161" t="n">
        <v>62192.17</v>
      </c>
      <c r="S175" s="190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54"/>
      <c r="B176" s="200"/>
      <c r="C176" s="200"/>
      <c r="D176" s="200"/>
      <c r="E176" s="200"/>
      <c r="F176" s="52" t="s">
        <v>201</v>
      </c>
      <c r="G176" s="164" t="s">
        <v>26</v>
      </c>
      <c r="H176" s="172" t="n">
        <v>15</v>
      </c>
      <c r="I176" s="165" t="n">
        <v>5</v>
      </c>
      <c r="J176" s="165" t="n">
        <v>5</v>
      </c>
      <c r="K176" s="166" t="n">
        <v>9468.02</v>
      </c>
      <c r="L176" s="161" t="n">
        <f aca="false">M176+N176</f>
        <v>5063.02</v>
      </c>
      <c r="M176" s="166" t="n">
        <f aca="false">1585.8+2924.92+552.3</f>
        <v>5063.02</v>
      </c>
      <c r="N176" s="156"/>
      <c r="O176" s="168" t="n">
        <v>8</v>
      </c>
      <c r="P176" s="166" t="n">
        <v>6167</v>
      </c>
      <c r="Q176" s="166" t="n">
        <f aca="false">R176+S176</f>
        <v>6167</v>
      </c>
      <c r="R176" s="166" t="n">
        <f aca="false">6167</f>
        <v>6167</v>
      </c>
      <c r="S176" s="156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" hidden="false" customHeight="true" outlineLevel="0" collapsed="false">
      <c r="A177" s="17"/>
      <c r="B177" s="266" t="s">
        <v>157</v>
      </c>
      <c r="C177" s="266"/>
      <c r="D177" s="266"/>
      <c r="E177" s="148"/>
      <c r="F177" s="193"/>
      <c r="G177" s="146" t="s">
        <v>22</v>
      </c>
      <c r="H177" s="147" t="n">
        <v>18</v>
      </c>
      <c r="I177" s="148" t="n">
        <v>10</v>
      </c>
      <c r="J177" s="148" t="n">
        <v>14</v>
      </c>
      <c r="K177" s="149" t="n">
        <v>29900.69</v>
      </c>
      <c r="L177" s="149" t="n">
        <f aca="false">M177+N177</f>
        <v>21620.5</v>
      </c>
      <c r="M177" s="149" t="n">
        <v>21620.5</v>
      </c>
      <c r="N177" s="190"/>
      <c r="O177" s="151"/>
      <c r="P177" s="149"/>
      <c r="Q177" s="149" t="n">
        <f aca="false">R177+S177</f>
        <v>0</v>
      </c>
      <c r="R177" s="149"/>
      <c r="S177" s="190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" hidden="false" customHeight="false" outlineLevel="0" collapsed="false">
      <c r="A178" s="17"/>
      <c r="B178" s="266"/>
      <c r="C178" s="266"/>
      <c r="D178" s="266"/>
      <c r="E178" s="148"/>
      <c r="F178" s="218" t="s">
        <v>202</v>
      </c>
      <c r="G178" s="152" t="s">
        <v>26</v>
      </c>
      <c r="H178" s="176" t="n">
        <v>4</v>
      </c>
      <c r="I178" s="154"/>
      <c r="J178" s="154"/>
      <c r="K178" s="155"/>
      <c r="L178" s="155" t="n">
        <f aca="false">M178+N178</f>
        <v>0</v>
      </c>
      <c r="M178" s="155"/>
      <c r="N178" s="156"/>
      <c r="O178" s="157" t="n">
        <v>2</v>
      </c>
      <c r="P178" s="155"/>
      <c r="Q178" s="155" t="n">
        <f aca="false">R178+S178</f>
        <v>0</v>
      </c>
      <c r="R178" s="155"/>
      <c r="S178" s="156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" hidden="false" customHeight="true" outlineLevel="0" collapsed="false">
      <c r="A179" s="33"/>
      <c r="B179" s="188" t="s">
        <v>117</v>
      </c>
      <c r="C179" s="188" t="s">
        <v>33</v>
      </c>
      <c r="D179" s="188" t="s">
        <v>118</v>
      </c>
      <c r="E179" s="196" t="s">
        <v>25</v>
      </c>
      <c r="F179" s="277"/>
      <c r="G179" s="158" t="s">
        <v>22</v>
      </c>
      <c r="H179" s="169"/>
      <c r="I179" s="160"/>
      <c r="J179" s="160"/>
      <c r="K179" s="161"/>
      <c r="L179" s="161" t="n">
        <f aca="false">M179+N179</f>
        <v>0</v>
      </c>
      <c r="M179" s="161"/>
      <c r="N179" s="190"/>
      <c r="O179" s="163"/>
      <c r="P179" s="161"/>
      <c r="Q179" s="161" t="n">
        <f aca="false">R179+S179</f>
        <v>0</v>
      </c>
      <c r="R179" s="161"/>
      <c r="S179" s="190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5" hidden="false" customHeight="false" outlineLevel="0" collapsed="false">
      <c r="A180" s="33"/>
      <c r="B180" s="188"/>
      <c r="C180" s="188"/>
      <c r="D180" s="188"/>
      <c r="E180" s="188"/>
      <c r="F180" s="52"/>
      <c r="G180" s="158" t="s">
        <v>23</v>
      </c>
      <c r="H180" s="169"/>
      <c r="I180" s="160"/>
      <c r="J180" s="160"/>
      <c r="K180" s="161"/>
      <c r="L180" s="161" t="n">
        <f aca="false">M180+N180</f>
        <v>0</v>
      </c>
      <c r="M180" s="161"/>
      <c r="N180" s="167"/>
      <c r="O180" s="163" t="n">
        <v>2</v>
      </c>
      <c r="P180" s="161" t="n">
        <v>1762</v>
      </c>
      <c r="Q180" s="161" t="n">
        <f aca="false">R180+S180</f>
        <v>1762</v>
      </c>
      <c r="R180" s="161" t="n">
        <v>1762</v>
      </c>
      <c r="S180" s="167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5" hidden="false" customHeight="false" outlineLevel="0" collapsed="false">
      <c r="A181" s="33"/>
      <c r="B181" s="188"/>
      <c r="C181" s="188"/>
      <c r="D181" s="188"/>
      <c r="E181" s="188"/>
      <c r="F181" s="52"/>
      <c r="G181" s="164" t="s">
        <v>26</v>
      </c>
      <c r="H181" s="153"/>
      <c r="I181" s="165"/>
      <c r="J181" s="165"/>
      <c r="K181" s="166"/>
      <c r="L181" s="166" t="n">
        <f aca="false">M181+N181</f>
        <v>0</v>
      </c>
      <c r="M181" s="166"/>
      <c r="N181" s="156"/>
      <c r="O181" s="168" t="n">
        <v>10</v>
      </c>
      <c r="P181" s="166" t="n">
        <v>7092.05</v>
      </c>
      <c r="Q181" s="166" t="n">
        <f aca="false">R181+S181</f>
        <v>12430.95</v>
      </c>
      <c r="R181" s="166" t="n">
        <f aca="false">1762+1278.41+2862.29+1189.35+1288.7+4050.2</f>
        <v>12430.95</v>
      </c>
      <c r="S181" s="156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5" hidden="false" customHeight="true" outlineLevel="0" collapsed="false">
      <c r="A182" s="17"/>
      <c r="B182" s="266" t="s">
        <v>119</v>
      </c>
      <c r="C182" s="266" t="s">
        <v>20</v>
      </c>
      <c r="D182" s="266"/>
      <c r="E182" s="266" t="s">
        <v>25</v>
      </c>
      <c r="F182" s="267"/>
      <c r="G182" s="146" t="s">
        <v>22</v>
      </c>
      <c r="H182" s="169"/>
      <c r="I182" s="148"/>
      <c r="J182" s="148"/>
      <c r="K182" s="149"/>
      <c r="L182" s="149" t="n">
        <f aca="false">M182+N182</f>
        <v>0</v>
      </c>
      <c r="M182" s="149"/>
      <c r="N182" s="190"/>
      <c r="O182" s="151" t="n">
        <v>4</v>
      </c>
      <c r="P182" s="149" t="n">
        <v>4944.25</v>
      </c>
      <c r="Q182" s="149" t="n">
        <f aca="false">R182+S182</f>
        <v>4944.25</v>
      </c>
      <c r="R182" s="149" t="n">
        <v>4944.25</v>
      </c>
      <c r="S182" s="190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5.75" hidden="false" customHeight="true" outlineLevel="0" collapsed="false">
      <c r="A183" s="17"/>
      <c r="B183" s="266"/>
      <c r="C183" s="266"/>
      <c r="D183" s="266"/>
      <c r="E183" s="266"/>
      <c r="F183" s="52" t="s">
        <v>203</v>
      </c>
      <c r="G183" s="164" t="s">
        <v>26</v>
      </c>
      <c r="H183" s="175" t="n">
        <v>8</v>
      </c>
      <c r="I183" s="165" t="n">
        <v>3</v>
      </c>
      <c r="J183" s="165" t="n">
        <v>3</v>
      </c>
      <c r="K183" s="166" t="n">
        <v>3469.49</v>
      </c>
      <c r="L183" s="166" t="n">
        <f aca="false">M183+N183</f>
        <v>3418.9</v>
      </c>
      <c r="M183" s="166" t="n">
        <f aca="false">1762+1656.9</f>
        <v>3418.9</v>
      </c>
      <c r="N183" s="156"/>
      <c r="O183" s="168" t="n">
        <v>5</v>
      </c>
      <c r="P183" s="166" t="n">
        <v>14222.4</v>
      </c>
      <c r="Q183" s="166" t="n">
        <f aca="false">R183+S183</f>
        <v>14222.4</v>
      </c>
      <c r="R183" s="166" t="n">
        <f aca="false">11276.8+2945.6</f>
        <v>14222.4</v>
      </c>
      <c r="S183" s="156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5" hidden="false" customHeight="true" outlineLevel="0" collapsed="false">
      <c r="A184" s="17"/>
      <c r="B184" s="266" t="s">
        <v>225</v>
      </c>
      <c r="C184" s="266"/>
      <c r="D184" s="266"/>
      <c r="E184" s="266"/>
      <c r="F184" s="267"/>
      <c r="G184" s="146" t="s">
        <v>22</v>
      </c>
      <c r="H184" s="147"/>
      <c r="I184" s="148"/>
      <c r="J184" s="148"/>
      <c r="K184" s="149"/>
      <c r="L184" s="149" t="n">
        <f aca="false">M184+N184</f>
        <v>0</v>
      </c>
      <c r="M184" s="149"/>
      <c r="N184" s="190"/>
      <c r="O184" s="151"/>
      <c r="P184" s="149"/>
      <c r="Q184" s="149" t="n">
        <f aca="false">R184+S184</f>
        <v>0</v>
      </c>
      <c r="R184" s="149"/>
      <c r="S184" s="190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5" hidden="false" customHeight="false" outlineLevel="0" collapsed="false">
      <c r="A185" s="17"/>
      <c r="B185" s="266"/>
      <c r="C185" s="266"/>
      <c r="D185" s="266"/>
      <c r="E185" s="266"/>
      <c r="F185" s="218" t="s">
        <v>244</v>
      </c>
      <c r="G185" s="152" t="s">
        <v>23</v>
      </c>
      <c r="H185" s="176" t="n">
        <v>16</v>
      </c>
      <c r="I185" s="154" t="n">
        <v>13</v>
      </c>
      <c r="J185" s="154" t="n">
        <v>13</v>
      </c>
      <c r="K185" s="155" t="n">
        <v>19439.2</v>
      </c>
      <c r="L185" s="155" t="n">
        <f aca="false">M185+N185</f>
        <v>19439.2</v>
      </c>
      <c r="M185" s="155" t="n">
        <v>19439.2</v>
      </c>
      <c r="N185" s="156"/>
      <c r="O185" s="157"/>
      <c r="P185" s="155"/>
      <c r="Q185" s="155" t="n">
        <f aca="false">R185+S185</f>
        <v>0</v>
      </c>
      <c r="R185" s="155"/>
      <c r="S185" s="156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5" hidden="false" customHeight="true" outlineLevel="0" collapsed="false">
      <c r="A186" s="54"/>
      <c r="B186" s="200" t="s">
        <v>120</v>
      </c>
      <c r="C186" s="200" t="s">
        <v>20</v>
      </c>
      <c r="D186" s="200"/>
      <c r="E186" s="200" t="s">
        <v>25</v>
      </c>
      <c r="F186" s="268"/>
      <c r="G186" s="158" t="s">
        <v>22</v>
      </c>
      <c r="H186" s="169" t="n">
        <v>2</v>
      </c>
      <c r="I186" s="160"/>
      <c r="J186" s="160"/>
      <c r="K186" s="161"/>
      <c r="L186" s="161" t="n">
        <f aca="false">M186+N186</f>
        <v>0</v>
      </c>
      <c r="M186" s="161"/>
      <c r="N186" s="190"/>
      <c r="O186" s="163" t="n">
        <v>3</v>
      </c>
      <c r="P186" s="161" t="n">
        <v>3063.78</v>
      </c>
      <c r="Q186" s="161" t="n">
        <f aca="false">R186+S186</f>
        <v>3063.78</v>
      </c>
      <c r="R186" s="161" t="n">
        <v>3063.78</v>
      </c>
      <c r="S186" s="19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54"/>
      <c r="B187" s="200"/>
      <c r="C187" s="200"/>
      <c r="D187" s="200"/>
      <c r="E187" s="200"/>
      <c r="F187" s="272"/>
      <c r="G187" s="164" t="s">
        <v>26</v>
      </c>
      <c r="H187" s="175"/>
      <c r="I187" s="165"/>
      <c r="J187" s="165"/>
      <c r="K187" s="166"/>
      <c r="L187" s="166" t="n">
        <f aca="false">M187+N187</f>
        <v>0</v>
      </c>
      <c r="M187" s="166"/>
      <c r="N187" s="156"/>
      <c r="O187" s="168"/>
      <c r="P187" s="166"/>
      <c r="Q187" s="166" t="n">
        <f aca="false">R187+S187</f>
        <v>0</v>
      </c>
      <c r="R187" s="166"/>
      <c r="S187" s="156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72"/>
      <c r="B188" s="266" t="s">
        <v>158</v>
      </c>
      <c r="C188" s="196"/>
      <c r="D188" s="200" t="s">
        <v>204</v>
      </c>
      <c r="E188" s="196"/>
      <c r="F188" s="280"/>
      <c r="G188" s="146" t="s">
        <v>22</v>
      </c>
      <c r="H188" s="195" t="n">
        <v>2</v>
      </c>
      <c r="I188" s="196" t="n">
        <v>1</v>
      </c>
      <c r="J188" s="196" t="n">
        <v>1</v>
      </c>
      <c r="K188" s="197" t="n">
        <v>649.87</v>
      </c>
      <c r="L188" s="197" t="n">
        <f aca="false">M188+N188</f>
        <v>649.87</v>
      </c>
      <c r="M188" s="197" t="n">
        <v>649.87</v>
      </c>
      <c r="N188" s="190"/>
      <c r="O188" s="199"/>
      <c r="P188" s="197"/>
      <c r="Q188" s="197" t="n">
        <f aca="false">R188+S188</f>
        <v>0</v>
      </c>
      <c r="R188" s="197"/>
      <c r="S188" s="190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" hidden="false" customHeight="false" outlineLevel="0" collapsed="false">
      <c r="A189" s="54"/>
      <c r="B189" s="266"/>
      <c r="C189" s="200"/>
      <c r="D189" s="200"/>
      <c r="E189" s="200"/>
      <c r="F189" s="281" t="s">
        <v>205</v>
      </c>
      <c r="G189" s="152" t="s">
        <v>26</v>
      </c>
      <c r="H189" s="153" t="n">
        <v>10</v>
      </c>
      <c r="I189" s="200" t="n">
        <v>6</v>
      </c>
      <c r="J189" s="200" t="n">
        <v>6</v>
      </c>
      <c r="K189" s="201" t="n">
        <v>11966.96</v>
      </c>
      <c r="L189" s="201" t="n">
        <f aca="false">M189+N189</f>
        <v>8332.5</v>
      </c>
      <c r="M189" s="201" t="n">
        <v>8332.5</v>
      </c>
      <c r="N189" s="156"/>
      <c r="O189" s="203"/>
      <c r="P189" s="201"/>
      <c r="Q189" s="201" t="n">
        <f aca="false">R189+S189</f>
        <v>0</v>
      </c>
      <c r="R189" s="201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" hidden="false" customHeight="true" outlineLevel="0" collapsed="false">
      <c r="A190" s="33"/>
      <c r="B190" s="188" t="s">
        <v>152</v>
      </c>
      <c r="C190" s="188" t="s">
        <v>20</v>
      </c>
      <c r="D190" s="188"/>
      <c r="E190" s="188" t="s">
        <v>25</v>
      </c>
      <c r="F190" s="268"/>
      <c r="G190" s="158" t="s">
        <v>22</v>
      </c>
      <c r="H190" s="169"/>
      <c r="I190" s="160"/>
      <c r="J190" s="160"/>
      <c r="K190" s="161"/>
      <c r="L190" s="161" t="n">
        <f aca="false">M190+N190</f>
        <v>0</v>
      </c>
      <c r="M190" s="161"/>
      <c r="N190" s="190"/>
      <c r="O190" s="163" t="n">
        <v>6</v>
      </c>
      <c r="P190" s="161" t="n">
        <v>9977.8</v>
      </c>
      <c r="Q190" s="161" t="n">
        <f aca="false">R190+S190</f>
        <v>9977.8</v>
      </c>
      <c r="R190" s="161" t="n">
        <v>9977.8</v>
      </c>
      <c r="S190" s="190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188"/>
      <c r="C191" s="188"/>
      <c r="D191" s="188"/>
      <c r="E191" s="188"/>
      <c r="F191" s="52" t="s">
        <v>206</v>
      </c>
      <c r="G191" s="164" t="s">
        <v>26</v>
      </c>
      <c r="H191" s="171" t="n">
        <v>5</v>
      </c>
      <c r="I191" s="165"/>
      <c r="J191" s="165" t="n">
        <v>1</v>
      </c>
      <c r="K191" s="166" t="n">
        <v>704.8</v>
      </c>
      <c r="L191" s="166" t="n">
        <f aca="false">M191+N191</f>
        <v>4228.8</v>
      </c>
      <c r="M191" s="166" t="n">
        <f aca="false">4228.8</f>
        <v>4228.8</v>
      </c>
      <c r="N191" s="156"/>
      <c r="O191" s="168" t="n">
        <v>8</v>
      </c>
      <c r="P191" s="166" t="n">
        <v>17396.1</v>
      </c>
      <c r="Q191" s="161" t="n">
        <f aca="false">R191+S191</f>
        <v>17369.1</v>
      </c>
      <c r="R191" s="166" t="n">
        <f aca="false">6959.9+5990.8+1288.7+3129.7</f>
        <v>17369.1</v>
      </c>
      <c r="S191" s="156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" hidden="false" customHeight="true" outlineLevel="0" collapsed="false">
      <c r="A192" s="17"/>
      <c r="B192" s="266" t="s">
        <v>122</v>
      </c>
      <c r="C192" s="266" t="s">
        <v>20</v>
      </c>
      <c r="D192" s="266"/>
      <c r="E192" s="266" t="s">
        <v>116</v>
      </c>
      <c r="F192" s="267"/>
      <c r="G192" s="146" t="s">
        <v>22</v>
      </c>
      <c r="H192" s="159" t="n">
        <v>50</v>
      </c>
      <c r="I192" s="148" t="n">
        <v>47</v>
      </c>
      <c r="J192" s="148" t="n">
        <v>74</v>
      </c>
      <c r="K192" s="149" t="n">
        <v>124813.93</v>
      </c>
      <c r="L192" s="149" t="n">
        <f aca="false">M192+N192</f>
        <v>109652.45</v>
      </c>
      <c r="M192" s="149" t="n">
        <v>109652.45</v>
      </c>
      <c r="N192" s="190"/>
      <c r="O192" s="151" t="n">
        <v>40</v>
      </c>
      <c r="P192" s="149" t="n">
        <v>146907.61</v>
      </c>
      <c r="Q192" s="149" t="n">
        <f aca="false">R192+S192</f>
        <v>139570.66</v>
      </c>
      <c r="R192" s="149" t="n">
        <v>139570.66</v>
      </c>
      <c r="S192" s="19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15.75" hidden="false" customHeight="true" outlineLevel="0" collapsed="false">
      <c r="A193" s="17"/>
      <c r="B193" s="266"/>
      <c r="C193" s="266"/>
      <c r="D193" s="266"/>
      <c r="E193" s="266"/>
      <c r="F193" s="270"/>
      <c r="G193" s="152" t="s">
        <v>26</v>
      </c>
      <c r="H193" s="153"/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33"/>
      <c r="B194" s="188" t="s">
        <v>123</v>
      </c>
      <c r="C194" s="188" t="s">
        <v>20</v>
      </c>
      <c r="D194" s="188"/>
      <c r="E194" s="188" t="s">
        <v>25</v>
      </c>
      <c r="F194" s="268"/>
      <c r="G194" s="146" t="s">
        <v>22</v>
      </c>
      <c r="H194" s="159" t="n">
        <v>13</v>
      </c>
      <c r="I194" s="160" t="n">
        <v>12</v>
      </c>
      <c r="J194" s="160" t="n">
        <v>12</v>
      </c>
      <c r="K194" s="161" t="n">
        <v>21952.8</v>
      </c>
      <c r="L194" s="161" t="n">
        <f aca="false">M194+N194</f>
        <v>6402.76</v>
      </c>
      <c r="M194" s="161" t="n">
        <v>6402.76</v>
      </c>
      <c r="N194" s="190"/>
      <c r="O194" s="163" t="n">
        <v>6</v>
      </c>
      <c r="P194" s="161" t="n">
        <v>10868.41</v>
      </c>
      <c r="Q194" s="161" t="n">
        <f aca="false">R194+S194</f>
        <v>10868.41</v>
      </c>
      <c r="R194" s="161" t="n">
        <v>10868.41</v>
      </c>
      <c r="S194" s="190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33"/>
      <c r="B195" s="188"/>
      <c r="C195" s="188"/>
      <c r="D195" s="188"/>
      <c r="E195" s="188"/>
      <c r="F195" s="52" t="s">
        <v>207</v>
      </c>
      <c r="G195" s="164" t="s">
        <v>26</v>
      </c>
      <c r="H195" s="153" t="n">
        <v>12</v>
      </c>
      <c r="I195" s="165" t="n">
        <v>7</v>
      </c>
      <c r="J195" s="165" t="n">
        <v>7</v>
      </c>
      <c r="K195" s="166" t="n">
        <v>12518.8</v>
      </c>
      <c r="L195" s="161" t="n">
        <f aca="false">M195+N195</f>
        <v>11414.2</v>
      </c>
      <c r="M195" s="166" t="n">
        <v>11414.2</v>
      </c>
      <c r="N195" s="156"/>
      <c r="O195" s="168" t="n">
        <v>3</v>
      </c>
      <c r="P195" s="166" t="n">
        <v>24445.8</v>
      </c>
      <c r="Q195" s="166" t="n">
        <f aca="false">R195+S195</f>
        <v>24445.8</v>
      </c>
      <c r="R195" s="166" t="n">
        <f aca="false">24445.8</f>
        <v>24445.8</v>
      </c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.75" hidden="false" customHeight="true" outlineLevel="0" collapsed="false">
      <c r="A196" s="17"/>
      <c r="B196" s="266" t="s">
        <v>124</v>
      </c>
      <c r="C196" s="266" t="s">
        <v>20</v>
      </c>
      <c r="D196" s="266"/>
      <c r="E196" s="266" t="s">
        <v>88</v>
      </c>
      <c r="F196" s="267"/>
      <c r="G196" s="146" t="s">
        <v>22</v>
      </c>
      <c r="H196" s="159" t="n">
        <v>35</v>
      </c>
      <c r="I196" s="148" t="n">
        <v>27</v>
      </c>
      <c r="J196" s="148" t="n">
        <v>32</v>
      </c>
      <c r="K196" s="149" t="n">
        <v>45658.72</v>
      </c>
      <c r="L196" s="149" t="n">
        <f aca="false">M196+N196</f>
        <v>27701.57</v>
      </c>
      <c r="M196" s="149" t="n">
        <v>27701.57</v>
      </c>
      <c r="N196" s="190"/>
      <c r="O196" s="151" t="n">
        <v>15</v>
      </c>
      <c r="P196" s="149" t="n">
        <v>36669.9</v>
      </c>
      <c r="Q196" s="149" t="n">
        <f aca="false">R196+S196</f>
        <v>27526.97</v>
      </c>
      <c r="R196" s="149" t="n">
        <v>27526.97</v>
      </c>
      <c r="S196" s="190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17"/>
      <c r="B197" s="266"/>
      <c r="C197" s="266"/>
      <c r="D197" s="266"/>
      <c r="E197" s="266"/>
      <c r="F197" s="52" t="s">
        <v>245</v>
      </c>
      <c r="G197" s="164" t="s">
        <v>23</v>
      </c>
      <c r="H197" s="172" t="n">
        <v>12</v>
      </c>
      <c r="I197" s="165" t="n">
        <v>8</v>
      </c>
      <c r="J197" s="165" t="n">
        <v>8</v>
      </c>
      <c r="K197" s="166" t="n">
        <v>6655.85</v>
      </c>
      <c r="L197" s="166" t="n">
        <f aca="false">M197+N197</f>
        <v>6655.85</v>
      </c>
      <c r="M197" s="166" t="n">
        <v>6655.85</v>
      </c>
      <c r="N197" s="156"/>
      <c r="O197" s="168" t="n">
        <v>7</v>
      </c>
      <c r="P197" s="166" t="n">
        <v>10647.7</v>
      </c>
      <c r="Q197" s="166" t="n">
        <f aca="false">R197+S197</f>
        <v>10647.7</v>
      </c>
      <c r="R197" s="166" t="n">
        <v>10647.7</v>
      </c>
      <c r="S197" s="156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266" t="s">
        <v>208</v>
      </c>
      <c r="C198" s="266"/>
      <c r="D198" s="266"/>
      <c r="E198" s="148"/>
      <c r="F198" s="267"/>
      <c r="G198" s="146" t="s">
        <v>22</v>
      </c>
      <c r="H198" s="173" t="n">
        <v>66</v>
      </c>
      <c r="I198" s="148" t="n">
        <v>47</v>
      </c>
      <c r="J198" s="148" t="n">
        <v>47</v>
      </c>
      <c r="K198" s="149" t="n">
        <v>69084.82</v>
      </c>
      <c r="L198" s="149" t="n">
        <f aca="false">M198+N198</f>
        <v>63791.94</v>
      </c>
      <c r="M198" s="149" t="n">
        <v>63791.94</v>
      </c>
      <c r="N198" s="190"/>
      <c r="O198" s="151"/>
      <c r="P198" s="149"/>
      <c r="Q198" s="149" t="n">
        <f aca="false">R198+S198</f>
        <v>0</v>
      </c>
      <c r="R198" s="149"/>
      <c r="S198" s="190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266"/>
      <c r="C199" s="266"/>
      <c r="D199" s="266"/>
      <c r="E199" s="154"/>
      <c r="F199" s="218" t="s">
        <v>246</v>
      </c>
      <c r="G199" s="152" t="s">
        <v>23</v>
      </c>
      <c r="H199" s="174" t="n">
        <v>18</v>
      </c>
      <c r="I199" s="154" t="n">
        <v>12</v>
      </c>
      <c r="J199" s="154" t="n">
        <v>12</v>
      </c>
      <c r="K199" s="155" t="n">
        <v>13923.11</v>
      </c>
      <c r="L199" s="155" t="n">
        <f aca="false">M199+N199</f>
        <v>13923.11</v>
      </c>
      <c r="M199" s="155" t="n">
        <v>13923.11</v>
      </c>
      <c r="N199" s="156"/>
      <c r="O199" s="157"/>
      <c r="P199" s="155"/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188" t="s">
        <v>125</v>
      </c>
      <c r="C200" s="188" t="s">
        <v>33</v>
      </c>
      <c r="D200" s="188" t="s">
        <v>126</v>
      </c>
      <c r="E200" s="188" t="s">
        <v>127</v>
      </c>
      <c r="F200" s="268"/>
      <c r="G200" s="158" t="s">
        <v>22</v>
      </c>
      <c r="H200" s="159" t="n">
        <v>32</v>
      </c>
      <c r="I200" s="160" t="n">
        <v>24</v>
      </c>
      <c r="J200" s="160" t="n">
        <v>30</v>
      </c>
      <c r="K200" s="161" t="n">
        <v>78943.68</v>
      </c>
      <c r="L200" s="161" t="n">
        <f aca="false">M200+N200</f>
        <v>64444.19</v>
      </c>
      <c r="M200" s="161" t="n">
        <v>64444.19</v>
      </c>
      <c r="N200" s="190"/>
      <c r="O200" s="163" t="n">
        <v>15</v>
      </c>
      <c r="P200" s="161" t="n">
        <v>47972.04</v>
      </c>
      <c r="Q200" s="161" t="n">
        <f aca="false">R200+S200</f>
        <v>33154.57</v>
      </c>
      <c r="R200" s="161" t="n">
        <v>33154.57</v>
      </c>
      <c r="S200" s="190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188"/>
      <c r="C201" s="188"/>
      <c r="D201" s="188"/>
      <c r="E201" s="188"/>
      <c r="F201" s="52"/>
      <c r="G201" s="164" t="s">
        <v>23</v>
      </c>
      <c r="H201" s="171" t="n">
        <v>37</v>
      </c>
      <c r="I201" s="165" t="n">
        <v>20</v>
      </c>
      <c r="J201" s="165" t="n">
        <v>20</v>
      </c>
      <c r="K201" s="166" t="n">
        <v>56284.04</v>
      </c>
      <c r="L201" s="166" t="n">
        <v>56284.04</v>
      </c>
      <c r="M201" s="166" t="n">
        <v>56284.04</v>
      </c>
      <c r="N201" s="156"/>
      <c r="O201" s="168" t="n">
        <v>18</v>
      </c>
      <c r="P201" s="166" t="n">
        <v>50504.47</v>
      </c>
      <c r="Q201" s="166" t="n">
        <v>50504.47</v>
      </c>
      <c r="R201" s="166" t="n">
        <v>50504.47</v>
      </c>
      <c r="S201" s="156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" hidden="false" customHeight="true" outlineLevel="0" collapsed="false">
      <c r="A202" s="17"/>
      <c r="B202" s="266" t="s">
        <v>128</v>
      </c>
      <c r="C202" s="266" t="s">
        <v>20</v>
      </c>
      <c r="D202" s="266"/>
      <c r="E202" s="266" t="s">
        <v>25</v>
      </c>
      <c r="F202" s="267"/>
      <c r="G202" s="146" t="s">
        <v>22</v>
      </c>
      <c r="H202" s="159" t="n">
        <v>37</v>
      </c>
      <c r="I202" s="148" t="n">
        <v>30</v>
      </c>
      <c r="J202" s="148" t="n">
        <v>38</v>
      </c>
      <c r="K202" s="149" t="n">
        <v>52095.62</v>
      </c>
      <c r="L202" s="149" t="n">
        <f aca="false">M202+N202</f>
        <v>32978.34</v>
      </c>
      <c r="M202" s="149" t="n">
        <v>32978.34</v>
      </c>
      <c r="N202" s="190"/>
      <c r="O202" s="151" t="n">
        <v>28</v>
      </c>
      <c r="P202" s="149" t="n">
        <v>117273.29</v>
      </c>
      <c r="Q202" s="149" t="n">
        <f aca="false">R202+S202</f>
        <v>117273.29</v>
      </c>
      <c r="R202" s="149" t="n">
        <v>117273.29</v>
      </c>
      <c r="S202" s="19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266"/>
      <c r="C203" s="266"/>
      <c r="D203" s="266"/>
      <c r="E203" s="266"/>
      <c r="F203" s="272"/>
      <c r="G203" s="164" t="s">
        <v>26</v>
      </c>
      <c r="H203" s="175"/>
      <c r="I203" s="165"/>
      <c r="J203" s="165"/>
      <c r="K203" s="166"/>
      <c r="L203" s="166" t="n">
        <f aca="false">M203+N203</f>
        <v>0</v>
      </c>
      <c r="M203" s="166"/>
      <c r="N203" s="156"/>
      <c r="O203" s="168"/>
      <c r="P203" s="166"/>
      <c r="Q203" s="166" t="n">
        <f aca="false">R203+S203</f>
        <v>0</v>
      </c>
      <c r="R203" s="166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.75" hidden="false" customHeight="true" outlineLevel="0" collapsed="false">
      <c r="A204" s="17"/>
      <c r="B204" s="266" t="s">
        <v>227</v>
      </c>
      <c r="C204" s="266"/>
      <c r="D204" s="266"/>
      <c r="E204" s="266"/>
      <c r="F204" s="267"/>
      <c r="G204" s="204" t="s">
        <v>22</v>
      </c>
      <c r="H204" s="173" t="n">
        <v>7</v>
      </c>
      <c r="I204" s="148" t="n">
        <v>2</v>
      </c>
      <c r="J204" s="148" t="n">
        <v>3</v>
      </c>
      <c r="K204" s="149" t="n">
        <v>5527.79</v>
      </c>
      <c r="L204" s="149" t="n">
        <f aca="false">M204+N204</f>
        <v>5527.79</v>
      </c>
      <c r="M204" s="149" t="n">
        <v>5527.79</v>
      </c>
      <c r="N204" s="190"/>
      <c r="O204" s="206"/>
      <c r="P204" s="149"/>
      <c r="Q204" s="149" t="n">
        <f aca="false">R204+S204</f>
        <v>0</v>
      </c>
      <c r="R204" s="149"/>
      <c r="S204" s="190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17"/>
      <c r="B205" s="266"/>
      <c r="C205" s="266"/>
      <c r="D205" s="266"/>
      <c r="E205" s="266"/>
      <c r="F205" s="272"/>
      <c r="G205" s="251" t="s">
        <v>26</v>
      </c>
      <c r="H205" s="177"/>
      <c r="I205" s="165"/>
      <c r="J205" s="165"/>
      <c r="K205" s="166"/>
      <c r="L205" s="166" t="n">
        <f aca="false">M205+N205</f>
        <v>0</v>
      </c>
      <c r="M205" s="166"/>
      <c r="N205" s="167"/>
      <c r="O205" s="23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.75" hidden="false" customHeight="true" outlineLevel="0" collapsed="false">
      <c r="A206" s="17"/>
      <c r="B206" s="266" t="s">
        <v>296</v>
      </c>
      <c r="C206" s="266"/>
      <c r="D206" s="266"/>
      <c r="E206" s="266" t="s">
        <v>25</v>
      </c>
      <c r="F206" s="267"/>
      <c r="G206" s="146" t="s">
        <v>22</v>
      </c>
      <c r="H206" s="173" t="n">
        <v>5</v>
      </c>
      <c r="I206" s="148"/>
      <c r="J206" s="148"/>
      <c r="K206" s="149"/>
      <c r="L206" s="149" t="n">
        <f aca="false">M206+N206</f>
        <v>0</v>
      </c>
      <c r="M206" s="149"/>
      <c r="N206" s="150"/>
      <c r="O206" s="206"/>
      <c r="P206" s="149"/>
      <c r="Q206" s="149" t="n">
        <f aca="false">R206+S206</f>
        <v>0</v>
      </c>
      <c r="R206" s="149"/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266"/>
      <c r="C207" s="266"/>
      <c r="D207" s="266"/>
      <c r="E207" s="266"/>
      <c r="F207" s="270"/>
      <c r="G207" s="152" t="s">
        <v>26</v>
      </c>
      <c r="H207" s="174"/>
      <c r="I207" s="154"/>
      <c r="J207" s="154"/>
      <c r="K207" s="155"/>
      <c r="L207" s="155" t="n">
        <f aca="false">M207+N207</f>
        <v>0</v>
      </c>
      <c r="M207" s="155"/>
      <c r="N207" s="156"/>
      <c r="O207" s="209"/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33"/>
      <c r="B208" s="188" t="s">
        <v>129</v>
      </c>
      <c r="C208" s="188" t="s">
        <v>38</v>
      </c>
      <c r="D208" s="188" t="s">
        <v>130</v>
      </c>
      <c r="E208" s="188" t="s">
        <v>25</v>
      </c>
      <c r="F208" s="268"/>
      <c r="G208" s="158" t="s">
        <v>22</v>
      </c>
      <c r="H208" s="159" t="n">
        <v>21</v>
      </c>
      <c r="I208" s="160" t="n">
        <v>19</v>
      </c>
      <c r="J208" s="160" t="n">
        <v>22</v>
      </c>
      <c r="K208" s="161" t="n">
        <v>25544.63</v>
      </c>
      <c r="L208" s="161" t="n">
        <f aca="false">M208+N208</f>
        <v>16625.48</v>
      </c>
      <c r="M208" s="161" t="n">
        <v>16625.48</v>
      </c>
      <c r="N208" s="190"/>
      <c r="O208" s="163" t="n">
        <v>9</v>
      </c>
      <c r="P208" s="161" t="n">
        <v>88573.81</v>
      </c>
      <c r="Q208" s="161" t="n">
        <f aca="false">R208+S208</f>
        <v>66458.37</v>
      </c>
      <c r="R208" s="161" t="n">
        <v>66458.37</v>
      </c>
      <c r="S208" s="190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33"/>
      <c r="B209" s="188"/>
      <c r="C209" s="188"/>
      <c r="D209" s="188"/>
      <c r="E209" s="188"/>
      <c r="F209" s="52" t="s">
        <v>209</v>
      </c>
      <c r="G209" s="164" t="s">
        <v>26</v>
      </c>
      <c r="H209" s="153" t="n">
        <v>8</v>
      </c>
      <c r="I209" s="165" t="n">
        <v>2</v>
      </c>
      <c r="J209" s="165" t="n">
        <v>2</v>
      </c>
      <c r="K209" s="166" t="n">
        <v>4707.6</v>
      </c>
      <c r="L209" s="161" t="n">
        <f aca="false">M209+N209</f>
        <v>1762</v>
      </c>
      <c r="M209" s="166" t="n">
        <f aca="false">1762</f>
        <v>1762</v>
      </c>
      <c r="N209" s="156"/>
      <c r="O209" s="168" t="n">
        <v>7</v>
      </c>
      <c r="P209" s="166" t="s">
        <v>305</v>
      </c>
      <c r="Q209" s="166" t="n">
        <f aca="false">R209+S209</f>
        <v>20630.6</v>
      </c>
      <c r="R209" s="166" t="n">
        <f aca="false">20630.6</f>
        <v>20630.6</v>
      </c>
      <c r="S209" s="167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6.5" hidden="false" customHeight="true" outlineLevel="0" collapsed="false">
      <c r="A210" s="17"/>
      <c r="B210" s="266" t="s">
        <v>131</v>
      </c>
      <c r="C210" s="266" t="s">
        <v>38</v>
      </c>
      <c r="D210" s="266" t="s">
        <v>130</v>
      </c>
      <c r="E210" s="266" t="s">
        <v>25</v>
      </c>
      <c r="F210" s="267"/>
      <c r="G210" s="146" t="s">
        <v>22</v>
      </c>
      <c r="H210" s="159" t="n">
        <v>16</v>
      </c>
      <c r="I210" s="148" t="n">
        <v>14</v>
      </c>
      <c r="J210" s="148" t="n">
        <v>24</v>
      </c>
      <c r="K210" s="149" t="n">
        <v>70583.75</v>
      </c>
      <c r="L210" s="149" t="n">
        <f aca="false">M210+N210</f>
        <v>69022.94</v>
      </c>
      <c r="M210" s="149" t="n">
        <v>69022.94</v>
      </c>
      <c r="N210" s="190"/>
      <c r="O210" s="151" t="n">
        <v>20</v>
      </c>
      <c r="P210" s="149" t="n">
        <v>185154.98</v>
      </c>
      <c r="Q210" s="149" t="n">
        <f aca="false">R210+S210</f>
        <v>168563.78</v>
      </c>
      <c r="R210" s="149" t="n">
        <v>168563.78</v>
      </c>
      <c r="S210" s="198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6.5" hidden="false" customHeight="true" outlineLevel="0" collapsed="false">
      <c r="A211" s="17"/>
      <c r="B211" s="266"/>
      <c r="C211" s="266"/>
      <c r="D211" s="266"/>
      <c r="E211" s="266"/>
      <c r="F211" s="218" t="s">
        <v>210</v>
      </c>
      <c r="G211" s="152" t="s">
        <v>26</v>
      </c>
      <c r="H211" s="153" t="n">
        <v>5</v>
      </c>
      <c r="I211" s="154" t="n">
        <v>4</v>
      </c>
      <c r="J211" s="154" t="n">
        <v>4</v>
      </c>
      <c r="K211" s="155" t="n">
        <v>3034.9</v>
      </c>
      <c r="L211" s="155" t="n">
        <f aca="false">M211+N211</f>
        <v>3034.9</v>
      </c>
      <c r="M211" s="155" t="n">
        <f aca="false">1585.8+528.6+920.5</f>
        <v>3034.9</v>
      </c>
      <c r="N211" s="156"/>
      <c r="O211" s="157"/>
      <c r="P211" s="155"/>
      <c r="Q211" s="155" t="n">
        <f aca="false">R211+S211</f>
        <v>0</v>
      </c>
      <c r="R211" s="155"/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6.5" hidden="false" customHeight="true" outlineLevel="0" collapsed="false">
      <c r="A212" s="33"/>
      <c r="B212" s="188" t="s">
        <v>132</v>
      </c>
      <c r="C212" s="188" t="s">
        <v>20</v>
      </c>
      <c r="D212" s="188"/>
      <c r="E212" s="188" t="s">
        <v>69</v>
      </c>
      <c r="F212" s="192"/>
      <c r="G212" s="146" t="s">
        <v>22</v>
      </c>
      <c r="H212" s="159" t="n">
        <v>29</v>
      </c>
      <c r="I212" s="160" t="n">
        <v>19</v>
      </c>
      <c r="J212" s="160" t="n">
        <v>34</v>
      </c>
      <c r="K212" s="161" t="n">
        <v>72422.09</v>
      </c>
      <c r="L212" s="161" t="n">
        <f aca="false">M212+N212</f>
        <v>70855.58</v>
      </c>
      <c r="M212" s="161" t="n">
        <v>70855.58</v>
      </c>
      <c r="N212" s="190"/>
      <c r="O212" s="163" t="n">
        <v>15</v>
      </c>
      <c r="P212" s="161" t="n">
        <v>65486.6</v>
      </c>
      <c r="Q212" s="161" t="n">
        <f aca="false">R212+S212</f>
        <v>65486.6</v>
      </c>
      <c r="R212" s="161" t="n">
        <v>65486.6</v>
      </c>
      <c r="S212" s="190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6.5" hidden="false" customHeight="true" outlineLevel="0" collapsed="false">
      <c r="A213" s="33"/>
      <c r="B213" s="188"/>
      <c r="C213" s="188"/>
      <c r="D213" s="188"/>
      <c r="E213" s="188"/>
      <c r="F213" s="52" t="s">
        <v>211</v>
      </c>
      <c r="G213" s="164" t="s">
        <v>26</v>
      </c>
      <c r="H213" s="153" t="n">
        <v>12</v>
      </c>
      <c r="I213" s="165" t="n">
        <v>5</v>
      </c>
      <c r="J213" s="165" t="n">
        <v>5</v>
      </c>
      <c r="K213" s="166" t="n">
        <v>16164.86</v>
      </c>
      <c r="L213" s="166" t="n">
        <f aca="false">M213+N213</f>
        <v>9945.93</v>
      </c>
      <c r="M213" s="166" t="n">
        <f aca="false">6079.83+3866.1</f>
        <v>9945.93</v>
      </c>
      <c r="N213" s="156"/>
      <c r="O213" s="168" t="n">
        <v>1</v>
      </c>
      <c r="P213" s="166" t="n">
        <v>3171.6</v>
      </c>
      <c r="Q213" s="166" t="n">
        <f aca="false">R213+S213</f>
        <v>3171.6</v>
      </c>
      <c r="R213" s="166" t="n">
        <f aca="false">3171.6</f>
        <v>3171.6</v>
      </c>
      <c r="S213" s="156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6.5" hidden="false" customHeight="true" outlineLevel="0" collapsed="false">
      <c r="A214" s="72"/>
      <c r="B214" s="196" t="s">
        <v>133</v>
      </c>
      <c r="C214" s="196" t="s">
        <v>20</v>
      </c>
      <c r="D214" s="196"/>
      <c r="E214" s="196" t="s">
        <v>25</v>
      </c>
      <c r="F214" s="193"/>
      <c r="G214" s="146" t="s">
        <v>22</v>
      </c>
      <c r="H214" s="159" t="n">
        <v>4</v>
      </c>
      <c r="I214" s="148" t="n">
        <v>4</v>
      </c>
      <c r="J214" s="148" t="n">
        <v>7</v>
      </c>
      <c r="K214" s="149" t="n">
        <v>20592.86</v>
      </c>
      <c r="L214" s="149" t="n">
        <f aca="false">M214+N214</f>
        <v>20592.86</v>
      </c>
      <c r="M214" s="149" t="n">
        <v>20592.86</v>
      </c>
      <c r="N214" s="190"/>
      <c r="O214" s="151" t="n">
        <v>3</v>
      </c>
      <c r="P214" s="149" t="n">
        <v>5504.35</v>
      </c>
      <c r="Q214" s="149" t="n">
        <f aca="false">R214+S214</f>
        <v>5504.35</v>
      </c>
      <c r="R214" s="149" t="n">
        <v>5504.35</v>
      </c>
      <c r="S214" s="190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6.5" hidden="false" customHeight="true" outlineLevel="0" collapsed="false">
      <c r="A215" s="72"/>
      <c r="B215" s="196"/>
      <c r="C215" s="196"/>
      <c r="D215" s="196"/>
      <c r="E215" s="196"/>
      <c r="F215" s="52" t="s">
        <v>212</v>
      </c>
      <c r="G215" s="164" t="s">
        <v>26</v>
      </c>
      <c r="H215" s="171" t="n">
        <v>7</v>
      </c>
      <c r="I215" s="165" t="n">
        <v>3</v>
      </c>
      <c r="J215" s="165" t="n">
        <v>3</v>
      </c>
      <c r="K215" s="166" t="n">
        <v>5526.59</v>
      </c>
      <c r="L215" s="166" t="n">
        <f aca="false">M215+N215</f>
        <v>5152.39</v>
      </c>
      <c r="M215" s="166" t="n">
        <v>5152.39</v>
      </c>
      <c r="N215" s="156"/>
      <c r="O215" s="168" t="n">
        <v>2</v>
      </c>
      <c r="P215" s="166" t="n">
        <v>2907.3</v>
      </c>
      <c r="Q215" s="166" t="n">
        <f aca="false">R215+S215</f>
        <v>2907.3</v>
      </c>
      <c r="R215" s="166" t="n">
        <f aca="false">1321.5+1585.8</f>
        <v>2907.3</v>
      </c>
      <c r="S215" s="156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6.5" hidden="false" customHeight="true" outlineLevel="0" collapsed="false">
      <c r="A216" s="72"/>
      <c r="B216" s="196" t="s">
        <v>134</v>
      </c>
      <c r="C216" s="196" t="s">
        <v>20</v>
      </c>
      <c r="D216" s="196"/>
      <c r="E216" s="196" t="s">
        <v>25</v>
      </c>
      <c r="F216" s="267"/>
      <c r="G216" s="146" t="s">
        <v>22</v>
      </c>
      <c r="H216" s="169"/>
      <c r="I216" s="148"/>
      <c r="J216" s="148"/>
      <c r="K216" s="149"/>
      <c r="L216" s="149" t="n">
        <f aca="false">M216+N216</f>
        <v>0</v>
      </c>
      <c r="M216" s="149"/>
      <c r="N216" s="190"/>
      <c r="O216" s="151" t="n">
        <v>3</v>
      </c>
      <c r="P216" s="149" t="n">
        <v>15596.66</v>
      </c>
      <c r="Q216" s="149" t="n">
        <f aca="false">R216+S216</f>
        <v>13019.26</v>
      </c>
      <c r="R216" s="149" t="n">
        <v>13019.26</v>
      </c>
      <c r="S216" s="190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.75" hidden="false" customHeight="true" outlineLevel="0" collapsed="false">
      <c r="A217" s="72"/>
      <c r="B217" s="196"/>
      <c r="C217" s="196"/>
      <c r="D217" s="196"/>
      <c r="E217" s="196"/>
      <c r="F217" s="52" t="s">
        <v>213</v>
      </c>
      <c r="G217" s="164" t="s">
        <v>26</v>
      </c>
      <c r="H217" s="153" t="n">
        <v>7</v>
      </c>
      <c r="I217" s="165" t="n">
        <v>1</v>
      </c>
      <c r="J217" s="165" t="n">
        <v>1</v>
      </c>
      <c r="K217" s="166" t="n">
        <v>552.3</v>
      </c>
      <c r="L217" s="166" t="n">
        <f aca="false">M217+N217</f>
        <v>0</v>
      </c>
      <c r="M217" s="166"/>
      <c r="N217" s="156"/>
      <c r="O217" s="168" t="n">
        <v>11</v>
      </c>
      <c r="P217" s="166" t="n">
        <v>42378.32</v>
      </c>
      <c r="Q217" s="166" t="n">
        <f aca="false">R217+S217</f>
        <v>47367.26</v>
      </c>
      <c r="R217" s="166" t="n">
        <v>47367.26</v>
      </c>
      <c r="S217" s="156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true" outlineLevel="0" collapsed="false">
      <c r="A218" s="17"/>
      <c r="B218" s="266" t="s">
        <v>135</v>
      </c>
      <c r="C218" s="266" t="s">
        <v>20</v>
      </c>
      <c r="D218" s="266"/>
      <c r="E218" s="266" t="s">
        <v>69</v>
      </c>
      <c r="F218" s="193"/>
      <c r="G218" s="146" t="s">
        <v>22</v>
      </c>
      <c r="H218" s="159" t="n">
        <v>29</v>
      </c>
      <c r="I218" s="148" t="n">
        <v>21</v>
      </c>
      <c r="J218" s="148" t="n">
        <v>29</v>
      </c>
      <c r="K218" s="149" t="n">
        <v>51664.22</v>
      </c>
      <c r="L218" s="149" t="n">
        <f aca="false">M218+N218</f>
        <v>40835.59</v>
      </c>
      <c r="M218" s="149" t="n">
        <v>40835.59</v>
      </c>
      <c r="N218" s="190"/>
      <c r="O218" s="151" t="n">
        <v>14</v>
      </c>
      <c r="P218" s="149" t="n">
        <v>51085.65</v>
      </c>
      <c r="Q218" s="149" t="n">
        <f aca="false">R218+S218</f>
        <v>51085.65</v>
      </c>
      <c r="R218" s="149" t="n">
        <v>51085.65</v>
      </c>
      <c r="S218" s="190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.75" hidden="false" customHeight="true" outlineLevel="0" collapsed="false">
      <c r="A219" s="17"/>
      <c r="B219" s="266"/>
      <c r="C219" s="266"/>
      <c r="D219" s="266"/>
      <c r="E219" s="266"/>
      <c r="F219" s="218" t="s">
        <v>277</v>
      </c>
      <c r="G219" s="152" t="s">
        <v>26</v>
      </c>
      <c r="H219" s="171" t="n">
        <v>12</v>
      </c>
      <c r="I219" s="154"/>
      <c r="J219" s="154" t="n">
        <v>6</v>
      </c>
      <c r="K219" s="155" t="n">
        <v>13233.97</v>
      </c>
      <c r="L219" s="155" t="n">
        <f aca="false">M219+N219</f>
        <v>12957.82</v>
      </c>
      <c r="M219" s="155" t="n">
        <f aca="false">3347.8+1288.7+5467.77+1841+1012.55</f>
        <v>12957.82</v>
      </c>
      <c r="N219" s="156"/>
      <c r="O219" s="157" t="n">
        <v>2</v>
      </c>
      <c r="P219" s="155" t="n">
        <v>2292.9</v>
      </c>
      <c r="Q219" s="155" t="n">
        <f aca="false">R219+S219</f>
        <v>792.9</v>
      </c>
      <c r="R219" s="155" t="n">
        <f aca="false">792.9</f>
        <v>792.9</v>
      </c>
      <c r="S219" s="156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.75" hidden="false" customHeight="true" outlineLevel="0" collapsed="false">
      <c r="A220" s="33"/>
      <c r="B220" s="188" t="s">
        <v>136</v>
      </c>
      <c r="C220" s="188" t="s">
        <v>20</v>
      </c>
      <c r="D220" s="188"/>
      <c r="E220" s="188" t="s">
        <v>98</v>
      </c>
      <c r="F220" s="268"/>
      <c r="G220" s="146" t="s">
        <v>22</v>
      </c>
      <c r="H220" s="159" t="n">
        <v>32</v>
      </c>
      <c r="I220" s="160" t="n">
        <v>20</v>
      </c>
      <c r="J220" s="160" t="n">
        <v>31</v>
      </c>
      <c r="K220" s="161" t="n">
        <v>65795.14</v>
      </c>
      <c r="L220" s="161" t="n">
        <f aca="false">M220+N220</f>
        <v>49715.83</v>
      </c>
      <c r="M220" s="161" t="n">
        <v>49715.83</v>
      </c>
      <c r="N220" s="190"/>
      <c r="O220" s="163" t="n">
        <v>12</v>
      </c>
      <c r="P220" s="161" t="n">
        <v>32713.64</v>
      </c>
      <c r="Q220" s="161" t="n">
        <f aca="false">R220+S220</f>
        <v>32713.64</v>
      </c>
      <c r="R220" s="161" t="n">
        <v>32713.64</v>
      </c>
      <c r="S220" s="190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.75" hidden="false" customHeight="true" outlineLevel="0" collapsed="false">
      <c r="A221" s="33"/>
      <c r="B221" s="188"/>
      <c r="C221" s="188"/>
      <c r="D221" s="188"/>
      <c r="E221" s="188"/>
      <c r="F221" s="52" t="s">
        <v>247</v>
      </c>
      <c r="G221" s="164" t="s">
        <v>23</v>
      </c>
      <c r="H221" s="171" t="n">
        <v>11</v>
      </c>
      <c r="I221" s="165" t="n">
        <v>4</v>
      </c>
      <c r="J221" s="165" t="n">
        <v>4</v>
      </c>
      <c r="K221" s="166" t="n">
        <v>5593.75</v>
      </c>
      <c r="L221" s="166" t="n">
        <f aca="false">M221+N221</f>
        <v>5593.75</v>
      </c>
      <c r="M221" s="166" t="n">
        <v>5593.75</v>
      </c>
      <c r="N221" s="156"/>
      <c r="O221" s="168" t="n">
        <v>5</v>
      </c>
      <c r="P221" s="166" t="n">
        <v>14800.8</v>
      </c>
      <c r="Q221" s="166" t="n">
        <f aca="false">R221+S221</f>
        <v>14800.8</v>
      </c>
      <c r="R221" s="166" t="n">
        <v>14800.8</v>
      </c>
      <c r="S221" s="156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.75" hidden="false" customHeight="true" outlineLevel="0" collapsed="false">
      <c r="A222" s="17"/>
      <c r="B222" s="266" t="s">
        <v>137</v>
      </c>
      <c r="C222" s="266" t="s">
        <v>20</v>
      </c>
      <c r="D222" s="266"/>
      <c r="E222" s="266" t="s">
        <v>25</v>
      </c>
      <c r="F222" s="267"/>
      <c r="G222" s="146" t="s">
        <v>22</v>
      </c>
      <c r="H222" s="169"/>
      <c r="I222" s="148"/>
      <c r="J222" s="148"/>
      <c r="K222" s="149"/>
      <c r="L222" s="149" t="n">
        <f aca="false">M222+N222</f>
        <v>0</v>
      </c>
      <c r="M222" s="149"/>
      <c r="N222" s="190"/>
      <c r="O222" s="151" t="n">
        <v>14</v>
      </c>
      <c r="P222" s="149" t="n">
        <v>46258.85</v>
      </c>
      <c r="Q222" s="149" t="n">
        <f aca="false">R222+S222</f>
        <v>46258.85</v>
      </c>
      <c r="R222" s="149" t="n">
        <v>46258.85</v>
      </c>
      <c r="S222" s="190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20.25" hidden="false" customHeight="true" outlineLevel="0" collapsed="false">
      <c r="A223" s="17"/>
      <c r="B223" s="266"/>
      <c r="C223" s="266"/>
      <c r="D223" s="266"/>
      <c r="E223" s="266"/>
      <c r="F223" s="52" t="s">
        <v>286</v>
      </c>
      <c r="G223" s="164" t="s">
        <v>26</v>
      </c>
      <c r="H223" s="175" t="n">
        <v>13</v>
      </c>
      <c r="I223" s="165" t="n">
        <v>7</v>
      </c>
      <c r="J223" s="165" t="n">
        <v>7</v>
      </c>
      <c r="K223" s="166" t="n">
        <v>7443.85</v>
      </c>
      <c r="L223" s="166" t="n">
        <f aca="false">M223+N223</f>
        <v>5265.26</v>
      </c>
      <c r="M223" s="166" t="n">
        <f aca="false">3240.16+1012.55+1012.55</f>
        <v>5265.26</v>
      </c>
      <c r="N223" s="167"/>
      <c r="O223" s="168" t="n">
        <v>7</v>
      </c>
      <c r="P223" s="166" t="n">
        <v>16937.2</v>
      </c>
      <c r="Q223" s="166" t="n">
        <f aca="false">R223+S223</f>
        <v>16937.2</v>
      </c>
      <c r="R223" s="166" t="n">
        <f aca="false">6995.8+1288.7+5707.1+2945.6</f>
        <v>16937.2</v>
      </c>
      <c r="S223" s="167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.75" hidden="false" customHeight="true" outlineLevel="0" collapsed="false">
      <c r="A224" s="17"/>
      <c r="B224" s="266" t="s">
        <v>307</v>
      </c>
      <c r="C224" s="266"/>
      <c r="D224" s="266"/>
      <c r="E224" s="266" t="s">
        <v>25</v>
      </c>
      <c r="F224" s="267"/>
      <c r="G224" s="146" t="s">
        <v>22</v>
      </c>
      <c r="H224" s="147" t="n">
        <v>4</v>
      </c>
      <c r="I224" s="148" t="n">
        <v>2</v>
      </c>
      <c r="J224" s="148" t="n">
        <v>2</v>
      </c>
      <c r="K224" s="149" t="n">
        <v>1370.33</v>
      </c>
      <c r="L224" s="149" t="n">
        <f aca="false">M224+N224</f>
        <v>1370.33</v>
      </c>
      <c r="M224" s="149" t="n">
        <v>1370.33</v>
      </c>
      <c r="N224" s="150"/>
      <c r="O224" s="206"/>
      <c r="P224" s="149"/>
      <c r="Q224" s="149" t="n">
        <f aca="false">R224+S224</f>
        <v>0</v>
      </c>
      <c r="R224" s="149"/>
      <c r="S224" s="150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.75" hidden="false" customHeight="true" outlineLevel="0" collapsed="false">
      <c r="A225" s="17"/>
      <c r="B225" s="266"/>
      <c r="C225" s="266"/>
      <c r="D225" s="266"/>
      <c r="E225" s="266"/>
      <c r="F225" s="270"/>
      <c r="G225" s="152" t="s">
        <v>26</v>
      </c>
      <c r="H225" s="176"/>
      <c r="I225" s="154"/>
      <c r="J225" s="154"/>
      <c r="K225" s="155"/>
      <c r="L225" s="155" t="n">
        <f aca="false">M225+N225</f>
        <v>0</v>
      </c>
      <c r="M225" s="155"/>
      <c r="N225" s="156"/>
      <c r="O225" s="209"/>
      <c r="P225" s="155"/>
      <c r="Q225" s="155" t="n">
        <f aca="false">R225+S225</f>
        <v>0</v>
      </c>
      <c r="R225" s="155"/>
      <c r="S225" s="156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.75" hidden="false" customHeight="true" outlineLevel="0" collapsed="false">
      <c r="A226" s="54"/>
      <c r="B226" s="200" t="s">
        <v>138</v>
      </c>
      <c r="C226" s="200" t="s">
        <v>33</v>
      </c>
      <c r="D226" s="200" t="s">
        <v>139</v>
      </c>
      <c r="E226" s="200" t="s">
        <v>25</v>
      </c>
      <c r="F226" s="268"/>
      <c r="G226" s="158" t="s">
        <v>22</v>
      </c>
      <c r="H226" s="169"/>
      <c r="I226" s="160"/>
      <c r="J226" s="160"/>
      <c r="K226" s="161"/>
      <c r="L226" s="161" t="n">
        <f aca="false">M226+N226</f>
        <v>0</v>
      </c>
      <c r="M226" s="161"/>
      <c r="N226" s="190"/>
      <c r="O226" s="163"/>
      <c r="P226" s="161"/>
      <c r="Q226" s="161" t="n">
        <f aca="false">R226+S226</f>
        <v>0</v>
      </c>
      <c r="R226" s="161"/>
      <c r="S226" s="190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.75" hidden="false" customHeight="true" outlineLevel="0" collapsed="false">
      <c r="A227" s="54"/>
      <c r="B227" s="200"/>
      <c r="C227" s="200"/>
      <c r="D227" s="200"/>
      <c r="E227" s="200"/>
      <c r="F227" s="218" t="s">
        <v>214</v>
      </c>
      <c r="G227" s="152" t="s">
        <v>26</v>
      </c>
      <c r="H227" s="171" t="n">
        <v>8</v>
      </c>
      <c r="I227" s="154" t="n">
        <v>7</v>
      </c>
      <c r="J227" s="154" t="n">
        <v>7</v>
      </c>
      <c r="K227" s="155" t="n">
        <v>16767.87</v>
      </c>
      <c r="L227" s="155" t="n">
        <f aca="false">M227+N227</f>
        <v>12995.12</v>
      </c>
      <c r="M227" s="155" t="n">
        <v>12995.12</v>
      </c>
      <c r="N227" s="156"/>
      <c r="O227" s="157"/>
      <c r="P227" s="155"/>
      <c r="Q227" s="155" t="n">
        <f aca="false">R227+S227</f>
        <v>0</v>
      </c>
      <c r="R227" s="155"/>
      <c r="S227" s="156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true" outlineLevel="0" collapsed="false">
      <c r="A228" s="33"/>
      <c r="B228" s="188" t="s">
        <v>140</v>
      </c>
      <c r="C228" s="188" t="s">
        <v>20</v>
      </c>
      <c r="D228" s="188"/>
      <c r="E228" s="188" t="s">
        <v>141</v>
      </c>
      <c r="F228" s="268"/>
      <c r="G228" s="146" t="s">
        <v>22</v>
      </c>
      <c r="H228" s="159" t="n">
        <v>28</v>
      </c>
      <c r="I228" s="160" t="n">
        <v>27</v>
      </c>
      <c r="J228" s="160" t="n">
        <v>44</v>
      </c>
      <c r="K228" s="161" t="n">
        <v>69349.45</v>
      </c>
      <c r="L228" s="161" t="n">
        <f aca="false">M228+N228</f>
        <v>53829.03</v>
      </c>
      <c r="M228" s="161" t="n">
        <v>53829.03</v>
      </c>
      <c r="N228" s="190"/>
      <c r="O228" s="163" t="n">
        <v>13</v>
      </c>
      <c r="P228" s="161" t="n">
        <v>75282.64</v>
      </c>
      <c r="Q228" s="161" t="n">
        <f aca="false">R228+S228</f>
        <v>72912.46</v>
      </c>
      <c r="R228" s="161" t="n">
        <v>72912.46</v>
      </c>
      <c r="S228" s="190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.75" hidden="false" customHeight="true" outlineLevel="0" collapsed="false">
      <c r="A229" s="33"/>
      <c r="B229" s="188"/>
      <c r="C229" s="188"/>
      <c r="D229" s="188"/>
      <c r="E229" s="188"/>
      <c r="F229" s="52" t="s">
        <v>215</v>
      </c>
      <c r="G229" s="164" t="s">
        <v>26</v>
      </c>
      <c r="H229" s="175" t="n">
        <v>2</v>
      </c>
      <c r="I229" s="165" t="n">
        <v>2</v>
      </c>
      <c r="J229" s="165" t="n">
        <v>2</v>
      </c>
      <c r="K229" s="166" t="n">
        <v>1159.83</v>
      </c>
      <c r="L229" s="166" t="n">
        <f aca="false">M229+N229</f>
        <v>552.3</v>
      </c>
      <c r="M229" s="166" t="n">
        <f aca="false">552.3</f>
        <v>552.3</v>
      </c>
      <c r="N229" s="156"/>
      <c r="O229" s="168"/>
      <c r="P229" s="166"/>
      <c r="Q229" s="166" t="n">
        <f aca="false">R229+S229</f>
        <v>0</v>
      </c>
      <c r="R229" s="166"/>
      <c r="S229" s="156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.75" hidden="false" customHeight="true" outlineLevel="0" collapsed="false">
      <c r="A230" s="17"/>
      <c r="B230" s="266" t="s">
        <v>251</v>
      </c>
      <c r="C230" s="266" t="s">
        <v>20</v>
      </c>
      <c r="D230" s="266"/>
      <c r="E230" s="266" t="s">
        <v>116</v>
      </c>
      <c r="F230" s="267"/>
      <c r="G230" s="146" t="s">
        <v>22</v>
      </c>
      <c r="H230" s="173" t="n">
        <v>10</v>
      </c>
      <c r="I230" s="148" t="n">
        <v>8</v>
      </c>
      <c r="J230" s="148" t="n">
        <v>9</v>
      </c>
      <c r="K230" s="149" t="n">
        <v>13708.49</v>
      </c>
      <c r="L230" s="166" t="n">
        <f aca="false">M230+N230</f>
        <v>6613.73</v>
      </c>
      <c r="M230" s="149" t="n">
        <v>6613.73</v>
      </c>
      <c r="N230" s="190"/>
      <c r="O230" s="206"/>
      <c r="P230" s="149"/>
      <c r="Q230" s="149" t="n">
        <f aca="false">R230+S230</f>
        <v>0</v>
      </c>
      <c r="R230" s="149"/>
      <c r="S230" s="190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.75" hidden="false" customHeight="true" outlineLevel="0" collapsed="false">
      <c r="A231" s="17"/>
      <c r="B231" s="266"/>
      <c r="C231" s="266"/>
      <c r="D231" s="266"/>
      <c r="E231" s="266"/>
      <c r="F231" s="218" t="s">
        <v>252</v>
      </c>
      <c r="G231" s="152" t="s">
        <v>26</v>
      </c>
      <c r="H231" s="174" t="n">
        <v>9</v>
      </c>
      <c r="I231" s="154"/>
      <c r="J231" s="154"/>
      <c r="K231" s="155"/>
      <c r="L231" s="166" t="n">
        <f aca="false">M231+N231</f>
        <v>0</v>
      </c>
      <c r="M231" s="155"/>
      <c r="N231" s="156"/>
      <c r="O231" s="209"/>
      <c r="P231" s="155"/>
      <c r="Q231" s="155" t="n">
        <f aca="false">R231+S231</f>
        <v>0</v>
      </c>
      <c r="R231" s="155"/>
      <c r="S231" s="156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.75" hidden="false" customHeight="true" outlineLevel="0" collapsed="false">
      <c r="A232" s="54"/>
      <c r="B232" s="200" t="s">
        <v>142</v>
      </c>
      <c r="C232" s="200" t="s">
        <v>20</v>
      </c>
      <c r="D232" s="200"/>
      <c r="E232" s="200" t="s">
        <v>25</v>
      </c>
      <c r="F232" s="268"/>
      <c r="G232" s="158" t="s">
        <v>22</v>
      </c>
      <c r="H232" s="173" t="n">
        <v>6</v>
      </c>
      <c r="I232" s="148" t="n">
        <v>6</v>
      </c>
      <c r="J232" s="148" t="n">
        <v>6</v>
      </c>
      <c r="K232" s="149" t="n">
        <v>8580.98</v>
      </c>
      <c r="L232" s="149" t="n">
        <f aca="false">M232+N232</f>
        <v>3970.58</v>
      </c>
      <c r="M232" s="149" t="n">
        <v>3970.58</v>
      </c>
      <c r="N232" s="190"/>
      <c r="O232" s="228" t="n">
        <v>7</v>
      </c>
      <c r="P232" s="161" t="n">
        <v>45328.43</v>
      </c>
      <c r="Q232" s="161" t="n">
        <f aca="false">R232+S232</f>
        <v>10969.43</v>
      </c>
      <c r="R232" s="161" t="n">
        <v>10969.43</v>
      </c>
      <c r="S232" s="190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.75" hidden="false" customHeight="true" outlineLevel="0" collapsed="false">
      <c r="A233" s="54"/>
      <c r="B233" s="200"/>
      <c r="C233" s="200"/>
      <c r="D233" s="200"/>
      <c r="E233" s="200"/>
      <c r="F233" s="52" t="s">
        <v>216</v>
      </c>
      <c r="G233" s="164" t="s">
        <v>26</v>
      </c>
      <c r="H233" s="177" t="n">
        <v>9</v>
      </c>
      <c r="I233" s="165" t="n">
        <v>8</v>
      </c>
      <c r="J233" s="165" t="n">
        <v>8</v>
      </c>
      <c r="K233" s="166" t="n">
        <v>27706.2</v>
      </c>
      <c r="L233" s="166" t="n">
        <f aca="false">M233+N233</f>
        <v>13979</v>
      </c>
      <c r="M233" s="166" t="n">
        <v>13979</v>
      </c>
      <c r="N233" s="167"/>
      <c r="O233" s="238" t="n">
        <v>15</v>
      </c>
      <c r="P233" s="166" t="n">
        <v>32945.3</v>
      </c>
      <c r="Q233" s="166" t="n">
        <f aca="false">R233+S233</f>
        <v>32945.3</v>
      </c>
      <c r="R233" s="166" t="n">
        <f aca="false">14903.5+15096.2+2945.6</f>
        <v>32945.3</v>
      </c>
      <c r="S233" s="167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.75" hidden="false" customHeight="true" outlineLevel="0" collapsed="false">
      <c r="A234" s="17"/>
      <c r="B234" s="266" t="s">
        <v>287</v>
      </c>
      <c r="C234" s="200" t="s">
        <v>20</v>
      </c>
      <c r="D234" s="266"/>
      <c r="E234" s="200" t="s">
        <v>25</v>
      </c>
      <c r="F234" s="267"/>
      <c r="G234" s="146" t="s">
        <v>22</v>
      </c>
      <c r="H234" s="147"/>
      <c r="I234" s="148"/>
      <c r="J234" s="148"/>
      <c r="K234" s="149"/>
      <c r="L234" s="149" t="n">
        <f aca="false">M234+N234</f>
        <v>0</v>
      </c>
      <c r="M234" s="149"/>
      <c r="N234" s="150"/>
      <c r="O234" s="206"/>
      <c r="P234" s="149"/>
      <c r="Q234" s="149" t="n">
        <f aca="false">R234+S234</f>
        <v>0</v>
      </c>
      <c r="R234" s="149"/>
      <c r="S234" s="150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.75" hidden="false" customHeight="true" outlineLevel="0" collapsed="false">
      <c r="A235" s="17"/>
      <c r="B235" s="266"/>
      <c r="C235" s="266"/>
      <c r="D235" s="266"/>
      <c r="E235" s="266"/>
      <c r="F235" s="218" t="s">
        <v>288</v>
      </c>
      <c r="G235" s="152" t="s">
        <v>26</v>
      </c>
      <c r="H235" s="176" t="n">
        <v>12</v>
      </c>
      <c r="I235" s="154" t="n">
        <v>5</v>
      </c>
      <c r="J235" s="154" t="n">
        <v>5</v>
      </c>
      <c r="K235" s="155" t="n">
        <v>5993.55</v>
      </c>
      <c r="L235" s="155" t="n">
        <f aca="false">M235+N235</f>
        <v>5841.05</v>
      </c>
      <c r="M235" s="155" t="n">
        <f aca="false">3171.6+2117.15+552.3</f>
        <v>5841.05</v>
      </c>
      <c r="N235" s="156"/>
      <c r="O235" s="209"/>
      <c r="P235" s="155"/>
      <c r="Q235" s="155" t="n">
        <f aca="false">R235+S235</f>
        <v>0</v>
      </c>
      <c r="R235" s="155"/>
      <c r="S235" s="156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.75" hidden="false" customHeight="true" outlineLevel="0" collapsed="false">
      <c r="A236" s="33"/>
      <c r="B236" s="188" t="s">
        <v>143</v>
      </c>
      <c r="C236" s="188" t="s">
        <v>20</v>
      </c>
      <c r="D236" s="188"/>
      <c r="E236" s="188" t="s">
        <v>25</v>
      </c>
      <c r="F236" s="268"/>
      <c r="G236" s="158" t="s">
        <v>22</v>
      </c>
      <c r="H236" s="169" t="n">
        <v>1</v>
      </c>
      <c r="I236" s="160"/>
      <c r="J236" s="160"/>
      <c r="K236" s="161"/>
      <c r="L236" s="161" t="n">
        <f aca="false">M236+N236</f>
        <v>0</v>
      </c>
      <c r="M236" s="161"/>
      <c r="N236" s="190"/>
      <c r="O236" s="163" t="n">
        <v>1</v>
      </c>
      <c r="P236" s="161" t="n">
        <v>1515.67</v>
      </c>
      <c r="Q236" s="161" t="n">
        <f aca="false">R236+S236</f>
        <v>1515.67</v>
      </c>
      <c r="R236" s="161" t="n">
        <v>1515.67</v>
      </c>
      <c r="S236" s="190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.75" hidden="false" customHeight="true" outlineLevel="0" collapsed="false">
      <c r="A237" s="33"/>
      <c r="B237" s="188"/>
      <c r="C237" s="188"/>
      <c r="D237" s="188"/>
      <c r="E237" s="188"/>
      <c r="F237" s="52" t="s">
        <v>217</v>
      </c>
      <c r="G237" s="164" t="s">
        <v>26</v>
      </c>
      <c r="H237" s="171" t="n">
        <v>9</v>
      </c>
      <c r="I237" s="165" t="n">
        <v>5</v>
      </c>
      <c r="J237" s="165" t="n">
        <v>5</v>
      </c>
      <c r="K237" s="166" t="n">
        <v>12611.85</v>
      </c>
      <c r="L237" s="166" t="n">
        <f aca="false">M237+N237</f>
        <v>14708.35</v>
      </c>
      <c r="M237" s="166" t="n">
        <v>14708.35</v>
      </c>
      <c r="N237" s="156"/>
      <c r="O237" s="168" t="n">
        <v>12</v>
      </c>
      <c r="P237" s="166" t="n">
        <v>35942.4</v>
      </c>
      <c r="Q237" s="166" t="n">
        <f aca="false">R237+S237</f>
        <v>37783.4</v>
      </c>
      <c r="R237" s="166" t="n">
        <v>37783.4</v>
      </c>
      <c r="S237" s="156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.75" hidden="false" customHeight="true" outlineLevel="0" collapsed="false">
      <c r="A238" s="17"/>
      <c r="B238" s="266" t="s">
        <v>144</v>
      </c>
      <c r="C238" s="266" t="s">
        <v>20</v>
      </c>
      <c r="D238" s="266"/>
      <c r="E238" s="266" t="s">
        <v>81</v>
      </c>
      <c r="F238" s="267"/>
      <c r="G238" s="146" t="s">
        <v>22</v>
      </c>
      <c r="H238" s="159" t="n">
        <v>20</v>
      </c>
      <c r="I238" s="148" t="n">
        <v>13</v>
      </c>
      <c r="J238" s="148" t="n">
        <v>15</v>
      </c>
      <c r="K238" s="149" t="n">
        <v>15594.76</v>
      </c>
      <c r="L238" s="149" t="n">
        <f aca="false">M238+N238</f>
        <v>9265.46</v>
      </c>
      <c r="M238" s="149" t="n">
        <v>9265.46</v>
      </c>
      <c r="N238" s="190"/>
      <c r="O238" s="151" t="n">
        <v>6</v>
      </c>
      <c r="P238" s="149" t="n">
        <v>23448.49</v>
      </c>
      <c r="Q238" s="149" t="n">
        <f aca="false">R238+S238</f>
        <v>16284.3</v>
      </c>
      <c r="R238" s="149" t="n">
        <v>16284.3</v>
      </c>
      <c r="S238" s="190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.75" hidden="false" customHeight="true" outlineLevel="0" collapsed="false">
      <c r="A239" s="17"/>
      <c r="B239" s="266"/>
      <c r="C239" s="266"/>
      <c r="D239" s="266"/>
      <c r="E239" s="266"/>
      <c r="F239" s="218" t="s">
        <v>218</v>
      </c>
      <c r="G239" s="152" t="s">
        <v>26</v>
      </c>
      <c r="H239" s="171" t="n">
        <v>7</v>
      </c>
      <c r="I239" s="154" t="n">
        <v>5</v>
      </c>
      <c r="J239" s="154" t="n">
        <v>5</v>
      </c>
      <c r="K239" s="155" t="n">
        <v>8056.78</v>
      </c>
      <c r="L239" s="155" t="n">
        <f aca="false">M239+N239</f>
        <v>7044.23</v>
      </c>
      <c r="M239" s="155" t="n">
        <v>7044.23</v>
      </c>
      <c r="N239" s="156"/>
      <c r="O239" s="157" t="n">
        <v>2</v>
      </c>
      <c r="P239" s="155" t="n">
        <v>4493.1</v>
      </c>
      <c r="Q239" s="155" t="n">
        <f aca="false">R239+S239</f>
        <v>4493.1</v>
      </c>
      <c r="R239" s="155" t="n">
        <f aca="false">4493.1</f>
        <v>4493.1</v>
      </c>
      <c r="S239" s="156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true" outlineLevel="0" collapsed="false">
      <c r="A240" s="33"/>
      <c r="B240" s="188" t="s">
        <v>145</v>
      </c>
      <c r="C240" s="188" t="s">
        <v>20</v>
      </c>
      <c r="D240" s="188"/>
      <c r="E240" s="188" t="s">
        <v>98</v>
      </c>
      <c r="F240" s="268"/>
      <c r="G240" s="146" t="s">
        <v>22</v>
      </c>
      <c r="H240" s="169"/>
      <c r="I240" s="160"/>
      <c r="J240" s="160"/>
      <c r="K240" s="161"/>
      <c r="L240" s="161" t="n">
        <f aca="false">M240+N240</f>
        <v>0</v>
      </c>
      <c r="M240" s="161"/>
      <c r="N240" s="190"/>
      <c r="O240" s="163"/>
      <c r="P240" s="161"/>
      <c r="Q240" s="161" t="n">
        <f aca="false">R240+S240</f>
        <v>0</v>
      </c>
      <c r="R240" s="161"/>
      <c r="S240" s="190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.75" hidden="false" customHeight="true" outlineLevel="0" collapsed="false">
      <c r="A241" s="33"/>
      <c r="B241" s="188"/>
      <c r="C241" s="188"/>
      <c r="D241" s="188"/>
      <c r="E241" s="188"/>
      <c r="F241" s="272"/>
      <c r="G241" s="164" t="s">
        <v>23</v>
      </c>
      <c r="H241" s="175"/>
      <c r="I241" s="165"/>
      <c r="J241" s="165"/>
      <c r="K241" s="166"/>
      <c r="L241" s="166" t="n">
        <f aca="false">M241+N241</f>
        <v>0</v>
      </c>
      <c r="M241" s="166"/>
      <c r="N241" s="156"/>
      <c r="O241" s="168"/>
      <c r="P241" s="166"/>
      <c r="Q241" s="166" t="n">
        <f aca="false">R241+S241</f>
        <v>0</v>
      </c>
      <c r="R241" s="166"/>
      <c r="S241" s="156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true" outlineLevel="0" collapsed="false">
      <c r="A242" s="17"/>
      <c r="B242" s="266" t="s">
        <v>146</v>
      </c>
      <c r="C242" s="266" t="s">
        <v>20</v>
      </c>
      <c r="D242" s="266"/>
      <c r="E242" s="266" t="s">
        <v>25</v>
      </c>
      <c r="F242" s="193"/>
      <c r="G242" s="146" t="s">
        <v>22</v>
      </c>
      <c r="H242" s="173" t="n">
        <v>12</v>
      </c>
      <c r="I242" s="148" t="n">
        <v>10</v>
      </c>
      <c r="J242" s="148" t="n">
        <v>12</v>
      </c>
      <c r="K242" s="149" t="n">
        <v>16027.46</v>
      </c>
      <c r="L242" s="149" t="n">
        <f aca="false">M242+N242</f>
        <v>16027.46</v>
      </c>
      <c r="M242" s="149" t="n">
        <v>16027.46</v>
      </c>
      <c r="N242" s="190"/>
      <c r="O242" s="206" t="n">
        <v>5</v>
      </c>
      <c r="P242" s="149" t="n">
        <v>36242.77</v>
      </c>
      <c r="Q242" s="149" t="n">
        <f aca="false">R242+S242</f>
        <v>34331.68</v>
      </c>
      <c r="R242" s="149" t="n">
        <v>34331.68</v>
      </c>
      <c r="S242" s="190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.75" hidden="false" customHeight="true" outlineLevel="0" collapsed="false">
      <c r="A243" s="17"/>
      <c r="B243" s="266"/>
      <c r="C243" s="266"/>
      <c r="D243" s="266"/>
      <c r="E243" s="266"/>
      <c r="F243" s="52" t="s">
        <v>219</v>
      </c>
      <c r="G243" s="164" t="s">
        <v>26</v>
      </c>
      <c r="H243" s="178" t="n">
        <v>6</v>
      </c>
      <c r="I243" s="165" t="n">
        <v>6</v>
      </c>
      <c r="J243" s="165" t="n">
        <v>6</v>
      </c>
      <c r="K243" s="166" t="n">
        <v>11146.65</v>
      </c>
      <c r="L243" s="166" t="n">
        <f aca="false">M243+N243</f>
        <v>9225.95</v>
      </c>
      <c r="M243" s="166" t="n">
        <f aca="false">3150.65+6075.3</f>
        <v>9225.95</v>
      </c>
      <c r="N243" s="167"/>
      <c r="O243" s="238" t="n">
        <v>1</v>
      </c>
      <c r="P243" s="166" t="n">
        <v>1585.8</v>
      </c>
      <c r="Q243" s="166" t="n">
        <f aca="false">R243+S243</f>
        <v>1585.8</v>
      </c>
      <c r="R243" s="166" t="n">
        <v>1585.8</v>
      </c>
      <c r="S243" s="167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.75" hidden="false" customHeight="true" outlineLevel="0" collapsed="false">
      <c r="A244" s="17"/>
      <c r="B244" s="266" t="s">
        <v>289</v>
      </c>
      <c r="C244" s="266"/>
      <c r="D244" s="266"/>
      <c r="E244" s="266"/>
      <c r="F244" s="267"/>
      <c r="G244" s="146" t="s">
        <v>22</v>
      </c>
      <c r="H244" s="173" t="n">
        <v>7</v>
      </c>
      <c r="I244" s="148" t="n">
        <v>7</v>
      </c>
      <c r="J244" s="148" t="n">
        <v>13</v>
      </c>
      <c r="K244" s="149" t="n">
        <v>17370.71</v>
      </c>
      <c r="L244" s="149" t="n">
        <f aca="false">M244+N244</f>
        <v>13013.88</v>
      </c>
      <c r="M244" s="149" t="n">
        <v>13013.88</v>
      </c>
      <c r="N244" s="224"/>
      <c r="O244" s="151"/>
      <c r="P244" s="149"/>
      <c r="Q244" s="149" t="n">
        <f aca="false">R244+S244</f>
        <v>0</v>
      </c>
      <c r="R244" s="149"/>
      <c r="S244" s="150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.75" hidden="false" customHeight="true" outlineLevel="0" collapsed="false">
      <c r="A245" s="17"/>
      <c r="B245" s="266"/>
      <c r="C245" s="266"/>
      <c r="D245" s="266"/>
      <c r="E245" s="266"/>
      <c r="F245" s="270"/>
      <c r="G245" s="152" t="s">
        <v>23</v>
      </c>
      <c r="H245" s="174" t="n">
        <v>5</v>
      </c>
      <c r="I245" s="154" t="n">
        <v>4</v>
      </c>
      <c r="J245" s="154" t="n">
        <v>4</v>
      </c>
      <c r="K245" s="155" t="n">
        <v>6664.14</v>
      </c>
      <c r="L245" s="155" t="n">
        <f aca="false">M245+N245</f>
        <v>6664.14</v>
      </c>
      <c r="M245" s="155" t="n">
        <v>6664.14</v>
      </c>
      <c r="N245" s="226"/>
      <c r="O245" s="157"/>
      <c r="P245" s="155"/>
      <c r="Q245" s="155" t="n">
        <f aca="false">R245+S245</f>
        <v>0</v>
      </c>
      <c r="R245" s="155"/>
      <c r="S245" s="156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.75" hidden="false" customHeight="true" outlineLevel="0" collapsed="false">
      <c r="A246" s="54"/>
      <c r="B246" s="200" t="s">
        <v>147</v>
      </c>
      <c r="C246" s="200" t="s">
        <v>20</v>
      </c>
      <c r="D246" s="200"/>
      <c r="E246" s="200" t="s">
        <v>25</v>
      </c>
      <c r="F246" s="271"/>
      <c r="G246" s="158" t="s">
        <v>22</v>
      </c>
      <c r="H246" s="159" t="n">
        <v>4</v>
      </c>
      <c r="I246" s="160" t="n">
        <v>3</v>
      </c>
      <c r="J246" s="160" t="n">
        <v>3</v>
      </c>
      <c r="K246" s="161" t="n">
        <v>2093.26</v>
      </c>
      <c r="L246" s="161" t="n">
        <f aca="false">M246+N246</f>
        <v>2093.26</v>
      </c>
      <c r="M246" s="161" t="n">
        <v>2093.26</v>
      </c>
      <c r="N246" s="190"/>
      <c r="O246" s="163" t="n">
        <v>6</v>
      </c>
      <c r="P246" s="161" t="n">
        <v>21131.92</v>
      </c>
      <c r="Q246" s="161" t="n">
        <f aca="false">R246+S246</f>
        <v>21131.92</v>
      </c>
      <c r="R246" s="161" t="n">
        <v>21131.92</v>
      </c>
      <c r="S246" s="190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.75" hidden="false" customHeight="true" outlineLevel="0" collapsed="false">
      <c r="A247" s="54"/>
      <c r="B247" s="200"/>
      <c r="C247" s="200"/>
      <c r="D247" s="200"/>
      <c r="E247" s="200"/>
      <c r="F247" s="52" t="s">
        <v>220</v>
      </c>
      <c r="G247" s="164" t="s">
        <v>26</v>
      </c>
      <c r="H247" s="172" t="n">
        <v>12</v>
      </c>
      <c r="I247" s="165" t="n">
        <v>6</v>
      </c>
      <c r="J247" s="165" t="n">
        <v>7</v>
      </c>
      <c r="K247" s="166" t="n">
        <v>17440.6</v>
      </c>
      <c r="L247" s="189" t="n">
        <f aca="false">M247+N247</f>
        <v>12697.4</v>
      </c>
      <c r="M247" s="166" t="n">
        <f aca="false">528.6+3700.2+1288.7+3497.9+2393.3+1288.7</f>
        <v>12697.4</v>
      </c>
      <c r="N247" s="167"/>
      <c r="O247" s="168" t="n">
        <v>6</v>
      </c>
      <c r="P247" s="166" t="n">
        <v>18677.2</v>
      </c>
      <c r="Q247" s="189" t="n">
        <f aca="false">R247+S247</f>
        <v>18677.2</v>
      </c>
      <c r="R247" s="166" t="n">
        <f aca="false">7048+528.6+5638.4+5462.2</f>
        <v>18677.2</v>
      </c>
      <c r="S247" s="167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true" outlineLevel="0" collapsed="false">
      <c r="A248" s="17"/>
      <c r="B248" s="266" t="s">
        <v>297</v>
      </c>
      <c r="C248" s="266"/>
      <c r="D248" s="266"/>
      <c r="E248" s="266" t="s">
        <v>25</v>
      </c>
      <c r="F248" s="193"/>
      <c r="G248" s="146" t="s">
        <v>22</v>
      </c>
      <c r="H248" s="173" t="n">
        <v>6</v>
      </c>
      <c r="I248" s="148"/>
      <c r="J248" s="148"/>
      <c r="K248" s="149"/>
      <c r="L248" s="149" t="n">
        <f aca="false">M248+N248</f>
        <v>0</v>
      </c>
      <c r="M248" s="149"/>
      <c r="N248" s="150"/>
      <c r="O248" s="206"/>
      <c r="P248" s="149"/>
      <c r="Q248" s="149" t="n">
        <f aca="false">R248+S248</f>
        <v>0</v>
      </c>
      <c r="R248" s="149"/>
      <c r="S248" s="150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17"/>
      <c r="B249" s="266"/>
      <c r="C249" s="266"/>
      <c r="D249" s="266"/>
      <c r="E249" s="266"/>
      <c r="F249" s="218"/>
      <c r="G249" s="152" t="s">
        <v>26</v>
      </c>
      <c r="H249" s="174"/>
      <c r="I249" s="154"/>
      <c r="J249" s="154"/>
      <c r="K249" s="155"/>
      <c r="L249" s="155" t="n">
        <f aca="false">M249+N249</f>
        <v>0</v>
      </c>
      <c r="M249" s="155"/>
      <c r="N249" s="156"/>
      <c r="O249" s="209"/>
      <c r="P249" s="155"/>
      <c r="Q249" s="155" t="n">
        <f aca="false">R249+S249</f>
        <v>0</v>
      </c>
      <c r="R249" s="155"/>
      <c r="S249" s="156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true" outlineLevel="0" collapsed="false">
      <c r="A250" s="54"/>
      <c r="B250" s="200" t="s">
        <v>148</v>
      </c>
      <c r="C250" s="200" t="s">
        <v>20</v>
      </c>
      <c r="D250" s="200"/>
      <c r="E250" s="200" t="s">
        <v>21</v>
      </c>
      <c r="F250" s="192"/>
      <c r="G250" s="158" t="s">
        <v>22</v>
      </c>
      <c r="H250" s="159" t="n">
        <v>5</v>
      </c>
      <c r="I250" s="160" t="n">
        <v>1</v>
      </c>
      <c r="J250" s="160" t="n">
        <v>1</v>
      </c>
      <c r="K250" s="161" t="n">
        <v>436.1</v>
      </c>
      <c r="L250" s="161" t="n">
        <f aca="false">M250+N250</f>
        <v>436.1</v>
      </c>
      <c r="M250" s="161" t="n">
        <v>436.1</v>
      </c>
      <c r="N250" s="190"/>
      <c r="O250" s="163" t="n">
        <v>1</v>
      </c>
      <c r="P250" s="161" t="n">
        <v>13232.99</v>
      </c>
      <c r="Q250" s="161" t="n">
        <f aca="false">R250+S250</f>
        <v>13232.99</v>
      </c>
      <c r="R250" s="161" t="n">
        <v>13232.99</v>
      </c>
      <c r="S250" s="190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.75" hidden="false" customHeight="true" outlineLevel="0" collapsed="false">
      <c r="A251" s="54"/>
      <c r="B251" s="200"/>
      <c r="C251" s="200"/>
      <c r="D251" s="200"/>
      <c r="E251" s="200"/>
      <c r="F251" s="218" t="s">
        <v>248</v>
      </c>
      <c r="G251" s="152" t="s">
        <v>23</v>
      </c>
      <c r="H251" s="171" t="n">
        <v>2</v>
      </c>
      <c r="I251" s="154"/>
      <c r="J251" s="154"/>
      <c r="K251" s="155"/>
      <c r="L251" s="155" t="n">
        <f aca="false">M251+N251</f>
        <v>0</v>
      </c>
      <c r="M251" s="155"/>
      <c r="N251" s="156"/>
      <c r="O251" s="157" t="n">
        <v>3</v>
      </c>
      <c r="P251" s="155" t="n">
        <v>572.65</v>
      </c>
      <c r="Q251" s="155" t="n">
        <f aca="false">R251+S251</f>
        <v>572.65</v>
      </c>
      <c r="R251" s="155" t="n">
        <v>572.65</v>
      </c>
      <c r="S251" s="156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.75" hidden="false" customHeight="true" outlineLevel="0" collapsed="false">
      <c r="A252" s="99"/>
      <c r="B252" s="100" t="s">
        <v>149</v>
      </c>
      <c r="C252" s="100"/>
      <c r="D252" s="100"/>
      <c r="E252" s="100"/>
      <c r="F252" s="100"/>
      <c r="G252" s="212"/>
      <c r="H252" s="213" t="n">
        <f aca="false">SUM(H9:H251)</f>
        <v>2863</v>
      </c>
      <c r="I252" s="214" t="n">
        <f aca="false">SUM(I9:I251)</f>
        <v>1973</v>
      </c>
      <c r="J252" s="214" t="n">
        <f aca="false">SUM(J9:J251)</f>
        <v>2456</v>
      </c>
      <c r="K252" s="215" t="n">
        <f aca="false">SUM(K9:K251)</f>
        <v>4670731.79</v>
      </c>
      <c r="L252" s="215" t="n">
        <f aca="false">SUM(L9:L251)</f>
        <v>3794615.77</v>
      </c>
      <c r="M252" s="215" t="n">
        <f aca="false">SUM(M9:M251)</f>
        <v>3794615.77</v>
      </c>
      <c r="N252" s="243" t="n">
        <f aca="false">SUM(N9:N251)</f>
        <v>0</v>
      </c>
      <c r="O252" s="244" t="n">
        <f aca="false">SUM(O9:O251)</f>
        <v>1312</v>
      </c>
      <c r="P252" s="245" t="n">
        <f aca="false">SUM(P9:P251)</f>
        <v>5010029.11</v>
      </c>
      <c r="Q252" s="245" t="n">
        <f aca="false">SUM(Q9:Q251)</f>
        <v>4654879.6</v>
      </c>
      <c r="R252" s="245" t="n">
        <f aca="false">SUM(R9:R251)</f>
        <v>4654879.6</v>
      </c>
      <c r="S252" s="246" t="n">
        <f aca="false">SUM(S9:S251)</f>
        <v>0</v>
      </c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I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 t="s">
        <v>290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customFormat="false" ht="15" hidden="false" customHeight="true" outlineLevel="0" collapsed="false">
      <c r="A256" s="2"/>
      <c r="B256" s="2"/>
      <c r="C256" s="2"/>
      <c r="D256" s="2"/>
      <c r="E256" s="2"/>
      <c r="F256" s="103"/>
      <c r="G256" s="104" t="s">
        <v>5</v>
      </c>
      <c r="H256" s="104"/>
      <c r="I256" s="104"/>
      <c r="J256" s="104"/>
      <c r="K256" s="104"/>
      <c r="L256" s="104"/>
      <c r="M256" s="104"/>
      <c r="N256" s="104" t="s">
        <v>6</v>
      </c>
      <c r="O256" s="104"/>
      <c r="P256" s="104"/>
      <c r="Q256" s="104"/>
      <c r="R256" s="104"/>
      <c r="S256" s="105" t="s">
        <v>150</v>
      </c>
      <c r="T256" s="105" t="s">
        <v>253</v>
      </c>
      <c r="U256" s="2"/>
      <c r="V256" s="2"/>
      <c r="W256" s="2"/>
      <c r="X256" s="2"/>
      <c r="Y256" s="2"/>
      <c r="Z256" s="2"/>
      <c r="AA256" s="2"/>
      <c r="AB256" s="2"/>
      <c r="AC256" s="2"/>
    </row>
    <row r="257" customFormat="false" ht="15" hidden="false" customHeight="false" outlineLevel="0" collapsed="false">
      <c r="A257" s="2"/>
      <c r="B257" s="2"/>
      <c r="C257" s="2"/>
      <c r="D257" s="2"/>
      <c r="E257" s="2"/>
      <c r="F257" s="103"/>
      <c r="G257" s="106" t="s">
        <v>13</v>
      </c>
      <c r="H257" s="106" t="s">
        <v>14</v>
      </c>
      <c r="I257" s="106" t="s">
        <v>15</v>
      </c>
      <c r="J257" s="106" t="s">
        <v>226</v>
      </c>
      <c r="K257" s="106" t="s">
        <v>16</v>
      </c>
      <c r="L257" s="106" t="s">
        <v>17</v>
      </c>
      <c r="M257" s="106" t="s">
        <v>18</v>
      </c>
      <c r="N257" s="106" t="s">
        <v>15</v>
      </c>
      <c r="O257" s="106" t="s">
        <v>226</v>
      </c>
      <c r="P257" s="106" t="s">
        <v>16</v>
      </c>
      <c r="Q257" s="106" t="s">
        <v>17</v>
      </c>
      <c r="R257" s="106" t="s">
        <v>18</v>
      </c>
      <c r="S257" s="105"/>
      <c r="T257" s="105"/>
      <c r="U257" s="2"/>
      <c r="V257" s="2"/>
      <c r="W257" s="2"/>
      <c r="X257" s="2"/>
      <c r="Y257" s="2"/>
      <c r="Z257" s="2"/>
      <c r="AA257" s="2"/>
      <c r="AB257" s="2"/>
      <c r="AC257" s="2"/>
    </row>
    <row r="258" customFormat="false" ht="15" hidden="false" customHeight="false" outlineLevel="0" collapsed="false">
      <c r="A258" s="2"/>
      <c r="B258" s="2"/>
      <c r="C258" s="2"/>
      <c r="D258" s="2"/>
      <c r="E258" s="2"/>
      <c r="F258" s="107" t="s">
        <v>22</v>
      </c>
      <c r="G258" s="108" t="n">
        <f aca="false">SUMIF($G$9:$G$251,$F$258,H9:H251)</f>
        <v>1984</v>
      </c>
      <c r="H258" s="108" t="n">
        <f aca="false">SUMIF($G$9:$G$251,$F$258,I9:I251)</f>
        <v>1515</v>
      </c>
      <c r="I258" s="108" t="n">
        <f aca="false">SUMIF($G$9:$G$251,$F$258,J9:J251)</f>
        <v>1990</v>
      </c>
      <c r="J258" s="110" t="n">
        <f aca="false">SUMIF($G$9:$G$251,F258,$K$9:$K$251)</f>
        <v>3800100.87</v>
      </c>
      <c r="K258" s="110" t="n">
        <f aca="false">SUMIF($G$9:$G$251,$F$258,L9:L251)</f>
        <v>3049713.87</v>
      </c>
      <c r="L258" s="110" t="n">
        <f aca="false">SUMIF($G$9:$G$251,$F$258,M9:M251)</f>
        <v>3049713.87</v>
      </c>
      <c r="M258" s="110" t="n">
        <f aca="false">SUMIF($G$9:$G$251,$F$258,N9:N251)</f>
        <v>0</v>
      </c>
      <c r="N258" s="108" t="n">
        <f aca="false">SUMIF($G$9:$G$251,$F$258,O9:O251)</f>
        <v>876</v>
      </c>
      <c r="O258" s="110" t="n">
        <f aca="false">SUMIF($G$9:$G$251,F258,$P$9:$P$251)</f>
        <v>3862789.28</v>
      </c>
      <c r="P258" s="110" t="n">
        <f aca="false">SUMIF($G$9:$G$251,$F$258,Q9:Q251)</f>
        <v>3477097.25</v>
      </c>
      <c r="Q258" s="110" t="n">
        <f aca="false">SUMIF($G$9:$G$251,$F$258,R9:R251)</f>
        <v>3477097.25</v>
      </c>
      <c r="R258" s="110" t="n">
        <f aca="false">SUMIF($G$9:$G$251,$F$258,S9:S251)</f>
        <v>0</v>
      </c>
      <c r="S258" s="110" t="n">
        <f aca="false">Q258+L258</f>
        <v>6526811.12</v>
      </c>
      <c r="T258" s="111" t="n">
        <f aca="false">J258-L258+O258-Q258</f>
        <v>1136079.03</v>
      </c>
      <c r="U258" s="2"/>
      <c r="V258" s="2"/>
      <c r="W258" s="2"/>
      <c r="X258" s="2"/>
      <c r="Y258" s="2"/>
      <c r="Z258" s="2"/>
      <c r="AA258" s="2"/>
      <c r="AB258" s="2"/>
      <c r="AC258" s="2"/>
    </row>
    <row r="259" customFormat="false" ht="15" hidden="false" customHeight="false" outlineLevel="0" collapsed="false">
      <c r="A259" s="2"/>
      <c r="B259" s="2"/>
      <c r="C259" s="2"/>
      <c r="D259" s="2"/>
      <c r="E259" s="2"/>
      <c r="F259" s="107" t="s">
        <v>26</v>
      </c>
      <c r="G259" s="108" t="n">
        <f aca="false">SUMIF($G$9:$G$251,$F$259,H9:H251)</f>
        <v>588</v>
      </c>
      <c r="H259" s="108" t="n">
        <f aca="false">SUMIF($G$9:$G$251,$F$259,I9:I251)</f>
        <v>269</v>
      </c>
      <c r="I259" s="108" t="n">
        <f aca="false">SUMIF($G$9:$G$251,$F$259,J9:J251)</f>
        <v>277</v>
      </c>
      <c r="J259" s="110" t="n">
        <f aca="false">SUMIF($G$9:$G$251,F259,$K$9:$K$251)</f>
        <v>590576.72</v>
      </c>
      <c r="K259" s="110" t="n">
        <f aca="false">SUMIF($G$9:$G$251,$F$259,L9:L251)</f>
        <v>464847.7</v>
      </c>
      <c r="L259" s="110" t="n">
        <f aca="false">SUMIF($G$9:$G$251,$F$259,M9:M251)</f>
        <v>464847.7</v>
      </c>
      <c r="M259" s="110" t="n">
        <f aca="false">SUMIF($G$9:$G$251,$F$259,N9:N251)</f>
        <v>0</v>
      </c>
      <c r="N259" s="108" t="n">
        <f aca="false">SUMIF($G$9:$G$251,$F$259,O9:O251)</f>
        <v>325</v>
      </c>
      <c r="O259" s="110" t="n">
        <f aca="false">SUMIF($G$9:$G$251,F259,$P$9:$P$251)</f>
        <v>904081.78</v>
      </c>
      <c r="P259" s="110" t="n">
        <f aca="false">SUMIF($G$9:$G$251,$F$259,Q9:Q251)</f>
        <v>934624.3</v>
      </c>
      <c r="Q259" s="110" t="n">
        <f aca="false">SUMIF($G$9:$G$251,$F$259,R9:R251)</f>
        <v>934624.3</v>
      </c>
      <c r="R259" s="110" t="n">
        <f aca="false">SUMIF($G$9:$G$251,$F$259,S9:S251)</f>
        <v>0</v>
      </c>
      <c r="S259" s="110" t="n">
        <f aca="false">Q259+L259</f>
        <v>1399472</v>
      </c>
      <c r="T259" s="111" t="n">
        <f aca="false">J259-L259+O259-Q259</f>
        <v>95186.5000000002</v>
      </c>
      <c r="U259" s="2"/>
      <c r="V259" s="2"/>
      <c r="W259" s="2"/>
      <c r="X259" s="2"/>
      <c r="Y259" s="2"/>
      <c r="Z259" s="2"/>
      <c r="AA259" s="2"/>
      <c r="AB259" s="2"/>
      <c r="AC259" s="2"/>
    </row>
    <row r="260" customFormat="false" ht="15" hidden="false" customHeight="false" outlineLevel="0" collapsed="false">
      <c r="A260" s="2"/>
      <c r="B260" s="2"/>
      <c r="C260" s="2"/>
      <c r="D260" s="2"/>
      <c r="E260" s="2"/>
      <c r="F260" s="107" t="s">
        <v>23</v>
      </c>
      <c r="G260" s="108" t="n">
        <f aca="false">SUMIF($G$9:$G$251,$F$260,H9:H251)</f>
        <v>291</v>
      </c>
      <c r="H260" s="108" t="n">
        <f aca="false">SUMIF($G$9:$G$251,$F$260,I9:I251)</f>
        <v>189</v>
      </c>
      <c r="I260" s="108" t="n">
        <f aca="false">SUMIF($G$9:$G$251,$F$260,J9:J251)</f>
        <v>189</v>
      </c>
      <c r="J260" s="110" t="n">
        <f aca="false">SUMIF($G$9:$G$251,F260,$K$9:$K$251)</f>
        <v>280054.2</v>
      </c>
      <c r="K260" s="110" t="n">
        <f aca="false">SUMIF($G$9:$G$251,$F$260,L9:L251)</f>
        <v>280054.2</v>
      </c>
      <c r="L260" s="110" t="n">
        <f aca="false">SUMIF($G$9:$G$251,$F$260,M9:M251)</f>
        <v>280054.2</v>
      </c>
      <c r="M260" s="110" t="n">
        <f aca="false">SUMIF($G$9:$G$251,$F$260,N9:N251)</f>
        <v>0</v>
      </c>
      <c r="N260" s="108" t="n">
        <f aca="false">SUMIF($G$9:$G$251,$F$260,O9:O251)</f>
        <v>111</v>
      </c>
      <c r="O260" s="110" t="n">
        <f aca="false">SUMIF($G$9:$G$251,F260,$P$9:$P$251)</f>
        <v>243158.05</v>
      </c>
      <c r="P260" s="110" t="n">
        <f aca="false">SUMIF($G$9:$G$251,$F$260,Q9:Q251)</f>
        <v>243158.05</v>
      </c>
      <c r="Q260" s="110" t="n">
        <f aca="false">SUMIF($G$9:$G$251,$F$260,R9:R251)</f>
        <v>243158.05</v>
      </c>
      <c r="R260" s="110" t="n">
        <f aca="false">SUMIF($G$9:$G$251,$F$260,S9:S251)</f>
        <v>0</v>
      </c>
      <c r="S260" s="110" t="n">
        <f aca="false">Q260+L260</f>
        <v>523212.25</v>
      </c>
      <c r="T260" s="111" t="n">
        <f aca="false">J260-L260+O260-Q260</f>
        <v>0</v>
      </c>
      <c r="U260" s="2"/>
      <c r="V260" s="2"/>
      <c r="W260" s="2"/>
      <c r="X260" s="2"/>
      <c r="Y260" s="2"/>
      <c r="Z260" s="2"/>
      <c r="AA260" s="2"/>
      <c r="AB260" s="2"/>
      <c r="AC260" s="2"/>
    </row>
    <row r="261" customFormat="false" ht="15" hidden="false" customHeight="false" outlineLevel="0" collapsed="false">
      <c r="A261" s="2"/>
      <c r="B261" s="2"/>
      <c r="C261" s="2"/>
      <c r="D261" s="2"/>
      <c r="E261" s="2"/>
      <c r="F261" s="2"/>
      <c r="G261" s="216" t="n">
        <f aca="false">G260+G259+G258</f>
        <v>2863</v>
      </c>
      <c r="H261" s="216" t="n">
        <f aca="false">H260+H259+H258</f>
        <v>1973</v>
      </c>
      <c r="I261" s="216" t="n">
        <f aca="false">I260+I259+I258</f>
        <v>2456</v>
      </c>
      <c r="J261" s="217" t="n">
        <f aca="false">J260+J259+J258</f>
        <v>4670731.79</v>
      </c>
      <c r="K261" s="217" t="n">
        <f aca="false">K260+K259+K258</f>
        <v>3794615.77</v>
      </c>
      <c r="L261" s="217" t="n">
        <f aca="false">L260+L259+L258</f>
        <v>3794615.77</v>
      </c>
      <c r="M261" s="217" t="n">
        <f aca="false">M260+M259+M258</f>
        <v>0</v>
      </c>
      <c r="N261" s="216" t="n">
        <f aca="false">N260+N259+N258</f>
        <v>1312</v>
      </c>
      <c r="O261" s="217" t="n">
        <f aca="false">O260+O259+O258</f>
        <v>5010029.11</v>
      </c>
      <c r="P261" s="217" t="n">
        <f aca="false">P260+P259+P258</f>
        <v>4654879.6</v>
      </c>
      <c r="Q261" s="217" t="n">
        <f aca="false">Q260+Q259+Q258</f>
        <v>4654879.6</v>
      </c>
      <c r="R261" s="217" t="n">
        <f aca="false">R260+R259+R258</f>
        <v>0</v>
      </c>
      <c r="S261" s="217" t="n">
        <f aca="false">S260+S259+S258</f>
        <v>8449495.37</v>
      </c>
      <c r="T261" s="217" t="n">
        <f aca="false">T260+T259+T258</f>
        <v>1231265.53</v>
      </c>
      <c r="U261" s="2"/>
      <c r="V261" s="2"/>
      <c r="W261" s="2"/>
      <c r="X261" s="2"/>
      <c r="Y261" s="2"/>
      <c r="Z261" s="2"/>
      <c r="AA261" s="2"/>
      <c r="AB261" s="2"/>
      <c r="AC261" s="2"/>
    </row>
    <row r="262" customFormat="false" ht="15" hidden="false" customHeight="fals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customFormat="false" ht="15" hidden="false" customHeight="false" outlineLevel="0" collapsed="false">
      <c r="A263" s="2"/>
      <c r="B263" s="2"/>
      <c r="C263" s="2"/>
      <c r="D263" s="2"/>
      <c r="E263" s="2"/>
      <c r="F263" s="2"/>
      <c r="G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customFormat="false" ht="15" hidden="false" customHeight="fals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customFormat="false" ht="15" hidden="false" customHeight="fals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29"/>
      <c r="L265" s="2"/>
      <c r="M265" s="2"/>
      <c r="N265" s="2"/>
      <c r="O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customFormat="false" ht="15" hidden="false" customHeight="fals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customFormat="false" ht="15" hidden="false" customHeight="fals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customFormat="false" ht="15" hidden="false" customHeight="fals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customFormat="false" ht="15" hidden="false" customHeight="fals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customFormat="false" ht="15" hidden="false" customHeight="fals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customFormat="false" ht="15" hidden="false" customHeight="fals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customFormat="false" ht="15" hidden="false" customHeight="fals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customFormat="false" ht="15" hidden="false" customHeight="fals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customFormat="false" ht="15" hidden="false" customHeight="fals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customFormat="false" ht="15" hidden="false" customHeight="fals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customFormat="false" ht="15" hidden="false" customHeight="fals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customFormat="false" ht="15" hidden="false" customHeight="fals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customFormat="false" ht="15" hidden="false" customHeight="fals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customFormat="false" ht="15" hidden="false" customHeight="fals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customFormat="false" ht="15" hidden="false" customHeight="fals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customFormat="false" ht="15" hidden="false" customHeight="fals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customFormat="false" ht="15" hidden="false" customHeight="fals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customFormat="false" ht="15" hidden="false" customHeight="fals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customFormat="false" ht="15" hidden="false" customHeight="fals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customFormat="false" ht="15" hidden="false" customHeight="fals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customFormat="false" ht="15" hidden="false" customHeight="fals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customFormat="false" ht="15" hidden="false" customHeight="fals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customFormat="false" ht="15" hidden="false" customHeight="fals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customFormat="false" ht="15" hidden="false" customHeight="fals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customFormat="false" ht="15" hidden="false" customHeight="fals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customFormat="false" ht="15" hidden="false" customHeight="fals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customFormat="false" ht="15" hidden="false" customHeight="fals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customFormat="false" ht="15" hidden="false" customHeight="fals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customFormat="false" ht="15" hidden="false" customHeight="fals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customFormat="false" ht="15" hidden="false" customHeight="false" outlineLevel="0" collapsed="false">
      <c r="K295" s="236"/>
    </row>
    <row r="296" customFormat="false" ht="15" hidden="false" customHeight="false" outlineLevel="0" collapsed="false">
      <c r="K296" s="236"/>
    </row>
    <row r="297" customFormat="false" ht="15" hidden="false" customHeight="false" outlineLevel="0" collapsed="false">
      <c r="K297" s="236"/>
    </row>
    <row r="298" customFormat="false" ht="15" hidden="false" customHeight="false" outlineLevel="0" collapsed="false">
      <c r="K298" s="236"/>
    </row>
    <row r="299" customFormat="false" ht="15" hidden="false" customHeight="false" outlineLevel="0" collapsed="false">
      <c r="K299" s="236"/>
    </row>
    <row r="300" customFormat="false" ht="15" hidden="false" customHeight="false" outlineLevel="0" collapsed="false">
      <c r="K300" s="236"/>
    </row>
    <row r="301" customFormat="false" ht="15" hidden="false" customHeight="false" outlineLevel="0" collapsed="false">
      <c r="K301" s="236"/>
    </row>
    <row r="302" customFormat="false" ht="15" hidden="false" customHeight="false" outlineLevel="0" collapsed="false">
      <c r="K302" s="236"/>
    </row>
    <row r="303" customFormat="false" ht="15" hidden="false" customHeight="false" outlineLevel="0" collapsed="false">
      <c r="K303" s="236"/>
    </row>
    <row r="304" customFormat="false" ht="15" hidden="false" customHeight="false" outlineLevel="0" collapsed="false">
      <c r="K304" s="236"/>
    </row>
    <row r="305" customFormat="false" ht="15" hidden="false" customHeight="false" outlineLevel="0" collapsed="false">
      <c r="K305" s="236"/>
    </row>
    <row r="306" customFormat="false" ht="15" hidden="false" customHeight="false" outlineLevel="0" collapsed="false">
      <c r="K306" s="236"/>
    </row>
    <row r="307" customFormat="false" ht="15" hidden="false" customHeight="false" outlineLevel="0" collapsed="false">
      <c r="K307" s="236"/>
    </row>
    <row r="308" customFormat="false" ht="15" hidden="false" customHeight="false" outlineLevel="0" collapsed="false">
      <c r="K308" s="236"/>
    </row>
    <row r="309" customFormat="false" ht="15" hidden="false" customHeight="false" outlineLevel="0" collapsed="false">
      <c r="K309" s="236"/>
    </row>
    <row r="310" customFormat="false" ht="15" hidden="false" customHeight="false" outlineLevel="0" collapsed="false">
      <c r="K310" s="236"/>
    </row>
    <row r="311" customFormat="false" ht="15" hidden="false" customHeight="false" outlineLevel="0" collapsed="false">
      <c r="K311" s="236"/>
    </row>
    <row r="312" customFormat="false" ht="15" hidden="false" customHeight="false" outlineLevel="0" collapsed="false">
      <c r="K312" s="236"/>
    </row>
    <row r="313" customFormat="false" ht="15" hidden="false" customHeight="false" outlineLevel="0" collapsed="false">
      <c r="K313" s="236"/>
    </row>
    <row r="314" customFormat="false" ht="15" hidden="false" customHeight="false" outlineLevel="0" collapsed="false">
      <c r="K314" s="236"/>
    </row>
    <row r="315" customFormat="false" ht="15" hidden="false" customHeight="false" outlineLevel="0" collapsed="false">
      <c r="K315" s="236"/>
    </row>
    <row r="316" customFormat="false" ht="15" hidden="false" customHeight="false" outlineLevel="0" collapsed="false">
      <c r="K316" s="236"/>
    </row>
    <row r="317" customFormat="false" ht="13.8" hidden="false" customHeight="false" outlineLevel="0" collapsed="false">
      <c r="K317" s="236"/>
    </row>
    <row r="318" customFormat="false" ht="13.8" hidden="false" customHeight="false" outlineLevel="0" collapsed="false">
      <c r="K318" s="236"/>
    </row>
    <row r="319" customFormat="false" ht="13.8" hidden="false" customHeight="false" outlineLevel="0" collapsed="false">
      <c r="K319" s="236"/>
    </row>
    <row r="320" customFormat="false" ht="13.8" hidden="false" customHeight="false" outlineLevel="0" collapsed="false">
      <c r="K320" s="236"/>
    </row>
    <row r="321" customFormat="false" ht="13.8" hidden="false" customHeight="false" outlineLevel="0" collapsed="false">
      <c r="K321" s="236"/>
    </row>
    <row r="322" customFormat="false" ht="13.8" hidden="false" customHeight="false" outlineLevel="0" collapsed="false">
      <c r="H322" s="247"/>
      <c r="I322" s="247"/>
      <c r="K322" s="236"/>
    </row>
    <row r="323" customFormat="false" ht="13.8" hidden="false" customHeight="false" outlineLevel="0" collapsed="false">
      <c r="G323" s="221"/>
      <c r="H323" s="221"/>
      <c r="I323" s="221"/>
      <c r="J323" s="229"/>
      <c r="K323" s="236"/>
      <c r="N323" s="221"/>
      <c r="O323" s="229"/>
    </row>
    <row r="324" customFormat="false" ht="13.8" hidden="false" customHeight="false" outlineLevel="0" collapsed="false">
      <c r="K324" s="236"/>
    </row>
    <row r="325" customFormat="false" ht="15" hidden="false" customHeight="false" outlineLevel="0" collapsed="false">
      <c r="K325" s="236"/>
    </row>
    <row r="326" customFormat="false" ht="15" hidden="false" customHeight="false" outlineLevel="0" collapsed="false">
      <c r="K326" s="236"/>
    </row>
    <row r="327" customFormat="false" ht="15" hidden="false" customHeight="false" outlineLevel="0" collapsed="false">
      <c r="K327" s="236"/>
    </row>
    <row r="328" customFormat="false" ht="15" hidden="false" customHeight="false" outlineLevel="0" collapsed="false">
      <c r="K328" s="236"/>
    </row>
    <row r="329" customFormat="false" ht="15" hidden="false" customHeight="false" outlineLevel="0" collapsed="false">
      <c r="K329" s="236"/>
    </row>
    <row r="330" customFormat="false" ht="15" hidden="false" customHeight="false" outlineLevel="0" collapsed="false">
      <c r="K330" s="236"/>
    </row>
    <row r="331" customFormat="false" ht="15" hidden="false" customHeight="false" outlineLevel="0" collapsed="false">
      <c r="K331" s="236"/>
    </row>
    <row r="332" customFormat="false" ht="15" hidden="false" customHeight="false" outlineLevel="0" collapsed="false">
      <c r="K332" s="236"/>
    </row>
    <row r="333" customFormat="false" ht="15" hidden="false" customHeight="false" outlineLevel="0" collapsed="false">
      <c r="K333" s="236"/>
    </row>
    <row r="334" customFormat="false" ht="15" hidden="false" customHeight="false" outlineLevel="0" collapsed="false">
      <c r="K334" s="236"/>
    </row>
    <row r="335" customFormat="false" ht="15" hidden="false" customHeight="false" outlineLevel="0" collapsed="false">
      <c r="K335" s="236"/>
    </row>
    <row r="336" customFormat="false" ht="15" hidden="false" customHeight="false" outlineLevel="0" collapsed="false">
      <c r="K336" s="236"/>
    </row>
    <row r="337" customFormat="false" ht="15" hidden="false" customHeight="false" outlineLevel="0" collapsed="false">
      <c r="K337" s="236"/>
    </row>
    <row r="338" customFormat="false" ht="15" hidden="false" customHeight="false" outlineLevel="0" collapsed="false">
      <c r="K338" s="236"/>
    </row>
    <row r="339" customFormat="false" ht="15" hidden="false" customHeight="false" outlineLevel="0" collapsed="false">
      <c r="K339" s="236"/>
    </row>
    <row r="340" customFormat="false" ht="15" hidden="false" customHeight="false" outlineLevel="0" collapsed="false">
      <c r="K340" s="236"/>
    </row>
    <row r="341" customFormat="false" ht="15" hidden="false" customHeight="false" outlineLevel="0" collapsed="false">
      <c r="K341" s="236"/>
    </row>
    <row r="342" customFormat="false" ht="15" hidden="false" customHeight="false" outlineLevel="0" collapsed="false">
      <c r="K342" s="236"/>
    </row>
    <row r="343" customFormat="false" ht="15" hidden="false" customHeight="false" outlineLevel="0" collapsed="false">
      <c r="K343" s="236"/>
    </row>
    <row r="344" customFormat="false" ht="15" hidden="false" customHeight="false" outlineLevel="0" collapsed="false">
      <c r="K344" s="236"/>
    </row>
    <row r="345" customFormat="false" ht="15" hidden="false" customHeight="false" outlineLevel="0" collapsed="false">
      <c r="K345" s="236"/>
    </row>
    <row r="346" customFormat="false" ht="15" hidden="false" customHeight="false" outlineLevel="0" collapsed="false">
      <c r="K346" s="236"/>
    </row>
    <row r="347" customFormat="false" ht="15" hidden="false" customHeight="false" outlineLevel="0" collapsed="false">
      <c r="K347" s="236"/>
    </row>
    <row r="348" customFormat="false" ht="15" hidden="false" customHeight="false" outlineLevel="0" collapsed="false">
      <c r="K348" s="236"/>
    </row>
    <row r="349" customFormat="false" ht="15" hidden="false" customHeight="false" outlineLevel="0" collapsed="false">
      <c r="K349" s="236"/>
    </row>
    <row r="350" customFormat="false" ht="15" hidden="false" customHeight="false" outlineLevel="0" collapsed="false">
      <c r="K350" s="236"/>
    </row>
    <row r="351" customFormat="false" ht="15" hidden="false" customHeight="false" outlineLevel="0" collapsed="false">
      <c r="K351" s="236"/>
    </row>
    <row r="352" customFormat="false" ht="15" hidden="false" customHeight="false" outlineLevel="0" collapsed="false">
      <c r="K352" s="236"/>
    </row>
    <row r="353" customFormat="false" ht="15" hidden="false" customHeight="false" outlineLevel="0" collapsed="false">
      <c r="K353" s="236"/>
    </row>
    <row r="354" customFormat="false" ht="15" hidden="false" customHeight="false" outlineLevel="0" collapsed="false">
      <c r="K354" s="236"/>
    </row>
    <row r="355" customFormat="false" ht="15" hidden="false" customHeight="false" outlineLevel="0" collapsed="false">
      <c r="K355" s="236"/>
    </row>
    <row r="356" customFormat="false" ht="15" hidden="false" customHeight="false" outlineLevel="0" collapsed="false">
      <c r="K356" s="236"/>
    </row>
    <row r="357" customFormat="false" ht="15" hidden="false" customHeight="false" outlineLevel="0" collapsed="false">
      <c r="K357" s="236"/>
    </row>
    <row r="358" customFormat="false" ht="15" hidden="false" customHeight="false" outlineLevel="0" collapsed="false">
      <c r="K358" s="236"/>
    </row>
    <row r="359" customFormat="false" ht="15" hidden="false" customHeight="false" outlineLevel="0" collapsed="false">
      <c r="K359" s="236"/>
    </row>
    <row r="360" customFormat="false" ht="15" hidden="false" customHeight="false" outlineLevel="0" collapsed="false">
      <c r="K360" s="236"/>
    </row>
    <row r="361" customFormat="false" ht="15" hidden="false" customHeight="false" outlineLevel="0" collapsed="false">
      <c r="K361" s="236"/>
    </row>
    <row r="362" customFormat="false" ht="15" hidden="false" customHeight="false" outlineLevel="0" collapsed="false">
      <c r="K362" s="236"/>
    </row>
    <row r="363" customFormat="false" ht="15" hidden="false" customHeight="false" outlineLevel="0" collapsed="false">
      <c r="K363" s="236"/>
    </row>
    <row r="364" customFormat="false" ht="15" hidden="false" customHeight="false" outlineLevel="0" collapsed="false">
      <c r="K364" s="236"/>
    </row>
    <row r="365" customFormat="false" ht="15" hidden="false" customHeight="false" outlineLevel="0" collapsed="false">
      <c r="K365" s="236"/>
    </row>
    <row r="366" customFormat="false" ht="15" hidden="false" customHeight="false" outlineLevel="0" collapsed="false">
      <c r="K366" s="236"/>
    </row>
    <row r="367" customFormat="false" ht="15" hidden="false" customHeight="false" outlineLevel="0" collapsed="false">
      <c r="K367" s="236"/>
    </row>
    <row r="368" customFormat="false" ht="15" hidden="false" customHeight="false" outlineLevel="0" collapsed="false">
      <c r="K368" s="236"/>
    </row>
    <row r="369" customFormat="false" ht="15" hidden="false" customHeight="false" outlineLevel="0" collapsed="false">
      <c r="K369" s="236"/>
    </row>
    <row r="370" customFormat="false" ht="15" hidden="false" customHeight="false" outlineLevel="0" collapsed="false">
      <c r="K370" s="236"/>
    </row>
    <row r="371" customFormat="false" ht="15" hidden="false" customHeight="false" outlineLevel="0" collapsed="false">
      <c r="K371" s="236"/>
    </row>
    <row r="372" customFormat="false" ht="15" hidden="false" customHeight="false" outlineLevel="0" collapsed="false">
      <c r="K372" s="236"/>
    </row>
    <row r="373" customFormat="false" ht="15" hidden="false" customHeight="false" outlineLevel="0" collapsed="false">
      <c r="K373" s="236"/>
    </row>
    <row r="374" customFormat="false" ht="15" hidden="false" customHeight="false" outlineLevel="0" collapsed="false">
      <c r="K374" s="236"/>
    </row>
    <row r="375" customFormat="false" ht="15" hidden="false" customHeight="false" outlineLevel="0" collapsed="false">
      <c r="K375" s="236"/>
    </row>
    <row r="376" customFormat="false" ht="15" hidden="false" customHeight="false" outlineLevel="0" collapsed="false">
      <c r="K376" s="236"/>
    </row>
    <row r="377" customFormat="false" ht="15" hidden="false" customHeight="false" outlineLevel="0" collapsed="false">
      <c r="K377" s="236"/>
    </row>
    <row r="378" customFormat="false" ht="15" hidden="false" customHeight="false" outlineLevel="0" collapsed="false">
      <c r="K378" s="236"/>
    </row>
    <row r="379" customFormat="false" ht="15" hidden="false" customHeight="false" outlineLevel="0" collapsed="false">
      <c r="K379" s="236"/>
    </row>
    <row r="380" customFormat="false" ht="15" hidden="false" customHeight="false" outlineLevel="0" collapsed="false">
      <c r="K380" s="236"/>
    </row>
    <row r="381" customFormat="false" ht="15" hidden="false" customHeight="false" outlineLevel="0" collapsed="false">
      <c r="K381" s="236"/>
    </row>
    <row r="382" customFormat="false" ht="15" hidden="false" customHeight="false" outlineLevel="0" collapsed="false">
      <c r="K382" s="236"/>
    </row>
    <row r="383" customFormat="false" ht="15" hidden="false" customHeight="false" outlineLevel="0" collapsed="false">
      <c r="K383" s="236"/>
    </row>
    <row r="384" customFormat="false" ht="15" hidden="false" customHeight="false" outlineLevel="0" collapsed="false">
      <c r="K384" s="236"/>
    </row>
    <row r="385" customFormat="false" ht="15" hidden="false" customHeight="false" outlineLevel="0" collapsed="false">
      <c r="K385" s="236"/>
    </row>
    <row r="386" customFormat="false" ht="15" hidden="false" customHeight="false" outlineLevel="0" collapsed="false">
      <c r="K386" s="236"/>
    </row>
    <row r="387" customFormat="false" ht="15" hidden="false" customHeight="false" outlineLevel="0" collapsed="false">
      <c r="K387" s="236"/>
    </row>
    <row r="388" customFormat="false" ht="15" hidden="false" customHeight="false" outlineLevel="0" collapsed="false">
      <c r="K388" s="236"/>
    </row>
    <row r="389" customFormat="false" ht="15" hidden="false" customHeight="false" outlineLevel="0" collapsed="false">
      <c r="K389" s="236"/>
    </row>
    <row r="390" customFormat="false" ht="15" hidden="false" customHeight="false" outlineLevel="0" collapsed="false">
      <c r="K390" s="236"/>
    </row>
    <row r="391" customFormat="false" ht="15" hidden="false" customHeight="false" outlineLevel="0" collapsed="false">
      <c r="K391" s="236"/>
    </row>
    <row r="392" customFormat="false" ht="15" hidden="false" customHeight="false" outlineLevel="0" collapsed="false">
      <c r="K392" s="236"/>
    </row>
    <row r="393" customFormat="false" ht="15" hidden="false" customHeight="false" outlineLevel="0" collapsed="false">
      <c r="K393" s="236"/>
    </row>
    <row r="394" customFormat="false" ht="15" hidden="false" customHeight="false" outlineLevel="0" collapsed="false">
      <c r="K394" s="236"/>
    </row>
    <row r="395" customFormat="false" ht="15" hidden="false" customHeight="false" outlineLevel="0" collapsed="false">
      <c r="K395" s="236"/>
    </row>
    <row r="396" customFormat="false" ht="15" hidden="false" customHeight="false" outlineLevel="0" collapsed="false">
      <c r="K396" s="236"/>
    </row>
    <row r="397" customFormat="false" ht="15" hidden="false" customHeight="false" outlineLevel="0" collapsed="false">
      <c r="K397" s="236"/>
    </row>
    <row r="398" customFormat="false" ht="15" hidden="false" customHeight="false" outlineLevel="0" collapsed="false">
      <c r="K398" s="236"/>
    </row>
    <row r="399" customFormat="false" ht="15" hidden="false" customHeight="false" outlineLevel="0" collapsed="false">
      <c r="K399" s="236"/>
    </row>
    <row r="400" customFormat="false" ht="15" hidden="false" customHeight="false" outlineLevel="0" collapsed="false">
      <c r="K400" s="236"/>
    </row>
    <row r="401" customFormat="false" ht="15" hidden="false" customHeight="false" outlineLevel="0" collapsed="false">
      <c r="K401" s="236"/>
    </row>
    <row r="402" customFormat="false" ht="15" hidden="false" customHeight="false" outlineLevel="0" collapsed="false">
      <c r="K402" s="236"/>
    </row>
    <row r="403" customFormat="false" ht="15" hidden="false" customHeight="false" outlineLevel="0" collapsed="false">
      <c r="K403" s="236"/>
    </row>
    <row r="404" customFormat="false" ht="15" hidden="false" customHeight="false" outlineLevel="0" collapsed="false">
      <c r="K404" s="236"/>
    </row>
    <row r="405" customFormat="false" ht="15" hidden="false" customHeight="false" outlineLevel="0" collapsed="false">
      <c r="K405" s="236"/>
    </row>
    <row r="406" customFormat="false" ht="15" hidden="false" customHeight="false" outlineLevel="0" collapsed="false">
      <c r="K406" s="236"/>
    </row>
    <row r="407" customFormat="false" ht="15" hidden="false" customHeight="false" outlineLevel="0" collapsed="false">
      <c r="K407" s="236"/>
    </row>
    <row r="408" customFormat="false" ht="15" hidden="false" customHeight="false" outlineLevel="0" collapsed="false">
      <c r="K408" s="236"/>
    </row>
    <row r="409" customFormat="false" ht="15" hidden="false" customHeight="false" outlineLevel="0" collapsed="false">
      <c r="K409" s="236"/>
    </row>
    <row r="410" customFormat="false" ht="15" hidden="false" customHeight="false" outlineLevel="0" collapsed="false">
      <c r="K410" s="236"/>
    </row>
    <row r="411" customFormat="false" ht="15" hidden="false" customHeight="false" outlineLevel="0" collapsed="false">
      <c r="K411" s="236"/>
    </row>
    <row r="412" customFormat="false" ht="15" hidden="false" customHeight="false" outlineLevel="0" collapsed="false">
      <c r="K412" s="236"/>
    </row>
    <row r="413" customFormat="false" ht="15" hidden="false" customHeight="false" outlineLevel="0" collapsed="false">
      <c r="K413" s="236"/>
    </row>
    <row r="414" customFormat="false" ht="15" hidden="false" customHeight="false" outlineLevel="0" collapsed="false">
      <c r="K414" s="236"/>
    </row>
    <row r="415" customFormat="false" ht="15" hidden="false" customHeight="false" outlineLevel="0" collapsed="false">
      <c r="K415" s="236"/>
    </row>
    <row r="416" customFormat="false" ht="15" hidden="false" customHeight="false" outlineLevel="0" collapsed="false">
      <c r="K416" s="236"/>
    </row>
    <row r="417" customFormat="false" ht="15" hidden="false" customHeight="false" outlineLevel="0" collapsed="false">
      <c r="K417" s="236"/>
    </row>
    <row r="418" customFormat="false" ht="15" hidden="false" customHeight="false" outlineLevel="0" collapsed="false">
      <c r="K418" s="236"/>
    </row>
    <row r="419" customFormat="false" ht="15" hidden="false" customHeight="false" outlineLevel="0" collapsed="false">
      <c r="K419" s="236"/>
    </row>
    <row r="420" customFormat="false" ht="15" hidden="false" customHeight="false" outlineLevel="0" collapsed="false">
      <c r="K420" s="236"/>
    </row>
    <row r="421" customFormat="false" ht="15" hidden="false" customHeight="false" outlineLevel="0" collapsed="false">
      <c r="K421" s="236"/>
    </row>
    <row r="422" customFormat="false" ht="15" hidden="false" customHeight="false" outlineLevel="0" collapsed="false">
      <c r="K422" s="236"/>
    </row>
    <row r="423" customFormat="false" ht="15" hidden="false" customHeight="false" outlineLevel="0" collapsed="false">
      <c r="K423" s="236"/>
    </row>
    <row r="424" customFormat="false" ht="15" hidden="false" customHeight="false" outlineLevel="0" collapsed="false">
      <c r="K424" s="236"/>
    </row>
    <row r="425" customFormat="false" ht="15" hidden="false" customHeight="false" outlineLevel="0" collapsed="false">
      <c r="K425" s="236"/>
    </row>
    <row r="426" customFormat="false" ht="15" hidden="false" customHeight="false" outlineLevel="0" collapsed="false">
      <c r="K426" s="236"/>
    </row>
    <row r="427" customFormat="false" ht="15" hidden="false" customHeight="false" outlineLevel="0" collapsed="false">
      <c r="K427" s="236"/>
    </row>
    <row r="428" customFormat="false" ht="15" hidden="false" customHeight="false" outlineLevel="0" collapsed="false">
      <c r="K428" s="236"/>
    </row>
    <row r="429" customFormat="false" ht="15" hidden="false" customHeight="false" outlineLevel="0" collapsed="false">
      <c r="K429" s="236"/>
    </row>
    <row r="430" customFormat="false" ht="15" hidden="false" customHeight="false" outlineLevel="0" collapsed="false">
      <c r="K430" s="236"/>
    </row>
    <row r="431" customFormat="false" ht="15" hidden="false" customHeight="false" outlineLevel="0" collapsed="false">
      <c r="K431" s="236"/>
    </row>
    <row r="432" customFormat="false" ht="15" hidden="false" customHeight="false" outlineLevel="0" collapsed="false">
      <c r="K432" s="236"/>
    </row>
    <row r="433" customFormat="false" ht="15" hidden="false" customHeight="false" outlineLevel="0" collapsed="false">
      <c r="K433" s="236"/>
    </row>
    <row r="434" customFormat="false" ht="15" hidden="false" customHeight="false" outlineLevel="0" collapsed="false">
      <c r="K434" s="236"/>
    </row>
    <row r="435" customFormat="false" ht="15" hidden="false" customHeight="false" outlineLevel="0" collapsed="false">
      <c r="K435" s="236"/>
    </row>
    <row r="436" customFormat="false" ht="15" hidden="false" customHeight="false" outlineLevel="0" collapsed="false">
      <c r="K436" s="236"/>
    </row>
    <row r="437" customFormat="false" ht="15" hidden="false" customHeight="false" outlineLevel="0" collapsed="false">
      <c r="K437" s="236"/>
    </row>
    <row r="438" customFormat="false" ht="15" hidden="false" customHeight="false" outlineLevel="0" collapsed="false">
      <c r="K438" s="236"/>
    </row>
    <row r="439" customFormat="false" ht="15" hidden="false" customHeight="false" outlineLevel="0" collapsed="false">
      <c r="K439" s="236"/>
    </row>
    <row r="440" customFormat="false" ht="15" hidden="false" customHeight="false" outlineLevel="0" collapsed="false">
      <c r="K440" s="236"/>
    </row>
    <row r="441" customFormat="false" ht="15" hidden="false" customHeight="false" outlineLevel="0" collapsed="false">
      <c r="K441" s="236"/>
    </row>
    <row r="442" customFormat="false" ht="15" hidden="false" customHeight="false" outlineLevel="0" collapsed="false">
      <c r="K442" s="236"/>
    </row>
    <row r="443" customFormat="false" ht="15" hidden="false" customHeight="false" outlineLevel="0" collapsed="false">
      <c r="K443" s="236"/>
    </row>
    <row r="444" customFormat="false" ht="15" hidden="false" customHeight="false" outlineLevel="0" collapsed="false">
      <c r="K444" s="236"/>
    </row>
    <row r="445" customFormat="false" ht="15" hidden="false" customHeight="false" outlineLevel="0" collapsed="false">
      <c r="K445" s="236"/>
    </row>
    <row r="446" customFormat="false" ht="15" hidden="false" customHeight="false" outlineLevel="0" collapsed="false">
      <c r="K446" s="236"/>
    </row>
    <row r="447" customFormat="false" ht="15" hidden="false" customHeight="false" outlineLevel="0" collapsed="false">
      <c r="K447" s="236"/>
    </row>
    <row r="448" customFormat="false" ht="15" hidden="false" customHeight="false" outlineLevel="0" collapsed="false">
      <c r="K448" s="236"/>
    </row>
    <row r="449" customFormat="false" ht="15" hidden="false" customHeight="false" outlineLevel="0" collapsed="false">
      <c r="K449" s="236"/>
    </row>
    <row r="450" customFormat="false" ht="15" hidden="false" customHeight="false" outlineLevel="0" collapsed="false">
      <c r="K450" s="236"/>
    </row>
    <row r="451" customFormat="false" ht="15" hidden="false" customHeight="false" outlineLevel="0" collapsed="false">
      <c r="K451" s="236"/>
    </row>
    <row r="452" customFormat="false" ht="15" hidden="false" customHeight="false" outlineLevel="0" collapsed="false">
      <c r="K452" s="236"/>
    </row>
    <row r="453" customFormat="false" ht="15" hidden="false" customHeight="false" outlineLevel="0" collapsed="false">
      <c r="K453" s="236"/>
    </row>
    <row r="454" customFormat="false" ht="15" hidden="false" customHeight="false" outlineLevel="0" collapsed="false">
      <c r="K454" s="236"/>
    </row>
    <row r="455" customFormat="false" ht="15" hidden="false" customHeight="false" outlineLevel="0" collapsed="false">
      <c r="K455" s="236"/>
    </row>
    <row r="456" customFormat="false" ht="15" hidden="false" customHeight="false" outlineLevel="0" collapsed="false">
      <c r="K456" s="236"/>
    </row>
    <row r="457" customFormat="false" ht="15" hidden="false" customHeight="false" outlineLevel="0" collapsed="false">
      <c r="K457" s="236"/>
    </row>
    <row r="458" customFormat="false" ht="15" hidden="false" customHeight="false" outlineLevel="0" collapsed="false">
      <c r="K458" s="236"/>
    </row>
    <row r="459" customFormat="false" ht="15" hidden="false" customHeight="false" outlineLevel="0" collapsed="false">
      <c r="K459" s="236"/>
    </row>
    <row r="460" customFormat="false" ht="15" hidden="false" customHeight="false" outlineLevel="0" collapsed="false">
      <c r="K460" s="236"/>
    </row>
    <row r="461" customFormat="false" ht="15" hidden="false" customHeight="false" outlineLevel="0" collapsed="false">
      <c r="K461" s="236"/>
    </row>
    <row r="462" customFormat="false" ht="15" hidden="false" customHeight="false" outlineLevel="0" collapsed="false">
      <c r="K462" s="236"/>
    </row>
    <row r="463" customFormat="false" ht="15" hidden="false" customHeight="false" outlineLevel="0" collapsed="false">
      <c r="K463" s="236"/>
    </row>
    <row r="464" customFormat="false" ht="15" hidden="false" customHeight="false" outlineLevel="0" collapsed="false">
      <c r="K464" s="236"/>
    </row>
    <row r="465" customFormat="false" ht="15" hidden="false" customHeight="false" outlineLevel="0" collapsed="false">
      <c r="K465" s="236"/>
    </row>
    <row r="466" customFormat="false" ht="15" hidden="false" customHeight="false" outlineLevel="0" collapsed="false">
      <c r="K466" s="236"/>
    </row>
    <row r="467" customFormat="false" ht="15" hidden="false" customHeight="false" outlineLevel="0" collapsed="false">
      <c r="K467" s="236"/>
    </row>
    <row r="468" customFormat="false" ht="15" hidden="false" customHeight="false" outlineLevel="0" collapsed="false">
      <c r="K468" s="236"/>
    </row>
    <row r="469" customFormat="false" ht="15" hidden="false" customHeight="false" outlineLevel="0" collapsed="false">
      <c r="K469" s="236"/>
    </row>
    <row r="470" customFormat="false" ht="15" hidden="false" customHeight="false" outlineLevel="0" collapsed="false">
      <c r="K470" s="236"/>
    </row>
    <row r="471" customFormat="false" ht="15" hidden="false" customHeight="false" outlineLevel="0" collapsed="false">
      <c r="K471" s="236"/>
    </row>
    <row r="472" customFormat="false" ht="15" hidden="false" customHeight="false" outlineLevel="0" collapsed="false">
      <c r="K472" s="236"/>
    </row>
    <row r="473" customFormat="false" ht="15" hidden="false" customHeight="false" outlineLevel="0" collapsed="false">
      <c r="K473" s="236"/>
    </row>
    <row r="474" customFormat="false" ht="15" hidden="false" customHeight="false" outlineLevel="0" collapsed="false">
      <c r="K474" s="236"/>
    </row>
    <row r="475" customFormat="false" ht="15" hidden="false" customHeight="false" outlineLevel="0" collapsed="false">
      <c r="K475" s="236"/>
    </row>
    <row r="476" customFormat="false" ht="15" hidden="false" customHeight="false" outlineLevel="0" collapsed="false">
      <c r="K476" s="236"/>
    </row>
    <row r="477" customFormat="false" ht="15" hidden="false" customHeight="false" outlineLevel="0" collapsed="false">
      <c r="K477" s="236"/>
    </row>
    <row r="478" customFormat="false" ht="15" hidden="false" customHeight="false" outlineLevel="0" collapsed="false">
      <c r="K478" s="236"/>
    </row>
    <row r="479" customFormat="false" ht="15" hidden="false" customHeight="false" outlineLevel="0" collapsed="false">
      <c r="K479" s="236"/>
    </row>
    <row r="480" customFormat="false" ht="15" hidden="false" customHeight="false" outlineLevel="0" collapsed="false">
      <c r="K480" s="236"/>
    </row>
    <row r="481" customFormat="false" ht="15" hidden="false" customHeight="false" outlineLevel="0" collapsed="false">
      <c r="K481" s="236"/>
    </row>
    <row r="482" customFormat="false" ht="15" hidden="false" customHeight="false" outlineLevel="0" collapsed="false">
      <c r="K482" s="236"/>
    </row>
    <row r="483" customFormat="false" ht="15" hidden="false" customHeight="false" outlineLevel="0" collapsed="false">
      <c r="K483" s="236"/>
    </row>
    <row r="484" customFormat="false" ht="15" hidden="false" customHeight="false" outlineLevel="0" collapsed="false">
      <c r="K484" s="236"/>
    </row>
    <row r="485" customFormat="false" ht="15" hidden="false" customHeight="false" outlineLevel="0" collapsed="false">
      <c r="K485" s="236"/>
    </row>
    <row r="486" customFormat="false" ht="15" hidden="false" customHeight="false" outlineLevel="0" collapsed="false">
      <c r="K486" s="236"/>
    </row>
    <row r="487" customFormat="false" ht="15" hidden="false" customHeight="false" outlineLevel="0" collapsed="false">
      <c r="K487" s="236"/>
    </row>
    <row r="488" customFormat="false" ht="15" hidden="false" customHeight="false" outlineLevel="0" collapsed="false">
      <c r="K488" s="236"/>
    </row>
    <row r="489" customFormat="false" ht="15" hidden="false" customHeight="false" outlineLevel="0" collapsed="false">
      <c r="K489" s="236"/>
    </row>
    <row r="490" customFormat="false" ht="15" hidden="false" customHeight="false" outlineLevel="0" collapsed="false">
      <c r="K490" s="236"/>
    </row>
    <row r="491" customFormat="false" ht="15" hidden="false" customHeight="false" outlineLevel="0" collapsed="false">
      <c r="K491" s="236"/>
    </row>
    <row r="492" customFormat="false" ht="15" hidden="false" customHeight="false" outlineLevel="0" collapsed="false">
      <c r="K492" s="236"/>
    </row>
    <row r="493" customFormat="false" ht="15" hidden="false" customHeight="false" outlineLevel="0" collapsed="false">
      <c r="K493" s="236"/>
    </row>
    <row r="494" customFormat="false" ht="15" hidden="false" customHeight="false" outlineLevel="0" collapsed="false">
      <c r="K494" s="236"/>
    </row>
    <row r="495" customFormat="false" ht="15" hidden="false" customHeight="false" outlineLevel="0" collapsed="false">
      <c r="K495" s="236"/>
    </row>
    <row r="496" customFormat="false" ht="15" hidden="false" customHeight="false" outlineLevel="0" collapsed="false">
      <c r="K496" s="236"/>
    </row>
    <row r="497" customFormat="false" ht="15" hidden="false" customHeight="false" outlineLevel="0" collapsed="false">
      <c r="K497" s="236"/>
    </row>
    <row r="498" customFormat="false" ht="15" hidden="false" customHeight="false" outlineLevel="0" collapsed="false">
      <c r="K498" s="236"/>
    </row>
    <row r="499" customFormat="false" ht="15" hidden="false" customHeight="false" outlineLevel="0" collapsed="false">
      <c r="K499" s="236"/>
    </row>
    <row r="500" customFormat="false" ht="15" hidden="false" customHeight="false" outlineLevel="0" collapsed="false">
      <c r="K500" s="236"/>
    </row>
    <row r="501" customFormat="false" ht="15" hidden="false" customHeight="false" outlineLevel="0" collapsed="false">
      <c r="K501" s="236"/>
    </row>
    <row r="502" customFormat="false" ht="15" hidden="false" customHeight="false" outlineLevel="0" collapsed="false">
      <c r="K502" s="236"/>
    </row>
    <row r="503" customFormat="false" ht="15" hidden="false" customHeight="false" outlineLevel="0" collapsed="false">
      <c r="K503" s="236"/>
    </row>
    <row r="504" customFormat="false" ht="15" hidden="false" customHeight="false" outlineLevel="0" collapsed="false">
      <c r="K504" s="236"/>
    </row>
    <row r="505" customFormat="false" ht="15" hidden="false" customHeight="false" outlineLevel="0" collapsed="false">
      <c r="K505" s="236"/>
    </row>
    <row r="506" customFormat="false" ht="15" hidden="false" customHeight="false" outlineLevel="0" collapsed="false">
      <c r="K506" s="236"/>
    </row>
    <row r="507" customFormat="false" ht="15" hidden="false" customHeight="false" outlineLevel="0" collapsed="false">
      <c r="K507" s="236"/>
    </row>
    <row r="508" customFormat="false" ht="15" hidden="false" customHeight="false" outlineLevel="0" collapsed="false">
      <c r="K508" s="236"/>
    </row>
    <row r="509" customFormat="false" ht="15" hidden="false" customHeight="false" outlineLevel="0" collapsed="false">
      <c r="K509" s="236"/>
    </row>
    <row r="510" customFormat="false" ht="15" hidden="false" customHeight="false" outlineLevel="0" collapsed="false">
      <c r="K510" s="236"/>
    </row>
    <row r="511" customFormat="false" ht="15" hidden="false" customHeight="false" outlineLevel="0" collapsed="false">
      <c r="K511" s="236"/>
    </row>
    <row r="512" customFormat="false" ht="15" hidden="false" customHeight="false" outlineLevel="0" collapsed="false">
      <c r="K512" s="236"/>
    </row>
    <row r="513" customFormat="false" ht="15" hidden="false" customHeight="false" outlineLevel="0" collapsed="false">
      <c r="K513" s="236"/>
    </row>
    <row r="514" customFormat="false" ht="15" hidden="false" customHeight="false" outlineLevel="0" collapsed="false">
      <c r="K514" s="236"/>
    </row>
    <row r="515" customFormat="false" ht="15" hidden="false" customHeight="false" outlineLevel="0" collapsed="false">
      <c r="K515" s="236"/>
    </row>
    <row r="516" customFormat="false" ht="15" hidden="false" customHeight="false" outlineLevel="0" collapsed="false">
      <c r="K516" s="236"/>
    </row>
    <row r="517" customFormat="false" ht="15" hidden="false" customHeight="false" outlineLevel="0" collapsed="false">
      <c r="K517" s="236"/>
    </row>
    <row r="518" customFormat="false" ht="15" hidden="false" customHeight="false" outlineLevel="0" collapsed="false">
      <c r="K518" s="236"/>
    </row>
    <row r="519" customFormat="false" ht="15" hidden="false" customHeight="false" outlineLevel="0" collapsed="false">
      <c r="K519" s="236"/>
    </row>
    <row r="520" customFormat="false" ht="15" hidden="false" customHeight="false" outlineLevel="0" collapsed="false">
      <c r="K520" s="236"/>
    </row>
    <row r="521" customFormat="false" ht="15" hidden="false" customHeight="false" outlineLevel="0" collapsed="false">
      <c r="K521" s="236"/>
    </row>
    <row r="522" customFormat="false" ht="15" hidden="false" customHeight="false" outlineLevel="0" collapsed="false">
      <c r="K522" s="236"/>
    </row>
    <row r="523" customFormat="false" ht="15" hidden="false" customHeight="false" outlineLevel="0" collapsed="false">
      <c r="K523" s="236"/>
    </row>
    <row r="524" customFormat="false" ht="15" hidden="false" customHeight="false" outlineLevel="0" collapsed="false">
      <c r="K524" s="236"/>
    </row>
    <row r="525" customFormat="false" ht="15" hidden="false" customHeight="false" outlineLevel="0" collapsed="false">
      <c r="K525" s="236"/>
    </row>
    <row r="526" customFormat="false" ht="15" hidden="false" customHeight="false" outlineLevel="0" collapsed="false">
      <c r="K526" s="236"/>
    </row>
    <row r="527" customFormat="false" ht="15" hidden="false" customHeight="false" outlineLevel="0" collapsed="false">
      <c r="K527" s="236"/>
    </row>
    <row r="528" customFormat="false" ht="15" hidden="false" customHeight="false" outlineLevel="0" collapsed="false">
      <c r="K528" s="236"/>
    </row>
    <row r="529" customFormat="false" ht="15" hidden="false" customHeight="false" outlineLevel="0" collapsed="false">
      <c r="K529" s="236"/>
    </row>
    <row r="530" customFormat="false" ht="15" hidden="false" customHeight="false" outlineLevel="0" collapsed="false">
      <c r="K530" s="236"/>
    </row>
    <row r="531" customFormat="false" ht="15" hidden="false" customHeight="false" outlineLevel="0" collapsed="false">
      <c r="K531" s="236"/>
    </row>
    <row r="532" customFormat="false" ht="15" hidden="false" customHeight="false" outlineLevel="0" collapsed="false">
      <c r="K532" s="236"/>
    </row>
    <row r="533" customFormat="false" ht="15" hidden="false" customHeight="false" outlineLevel="0" collapsed="false">
      <c r="K533" s="236"/>
    </row>
    <row r="534" customFormat="false" ht="15" hidden="false" customHeight="false" outlineLevel="0" collapsed="false">
      <c r="K534" s="236"/>
    </row>
    <row r="535" customFormat="false" ht="15" hidden="false" customHeight="false" outlineLevel="0" collapsed="false">
      <c r="K535" s="236"/>
    </row>
    <row r="536" customFormat="false" ht="15" hidden="false" customHeight="false" outlineLevel="0" collapsed="false">
      <c r="K536" s="236"/>
    </row>
    <row r="537" customFormat="false" ht="15" hidden="false" customHeight="false" outlineLevel="0" collapsed="false">
      <c r="K537" s="236"/>
    </row>
    <row r="538" customFormat="false" ht="15" hidden="false" customHeight="false" outlineLevel="0" collapsed="false">
      <c r="K538" s="236"/>
    </row>
    <row r="539" customFormat="false" ht="15" hidden="false" customHeight="false" outlineLevel="0" collapsed="false">
      <c r="K539" s="236"/>
    </row>
    <row r="540" customFormat="false" ht="15" hidden="false" customHeight="false" outlineLevel="0" collapsed="false">
      <c r="K540" s="236"/>
    </row>
    <row r="541" customFormat="false" ht="15" hidden="false" customHeight="false" outlineLevel="0" collapsed="false">
      <c r="K541" s="236"/>
    </row>
    <row r="542" customFormat="false" ht="15" hidden="false" customHeight="false" outlineLevel="0" collapsed="false">
      <c r="K542" s="236"/>
    </row>
    <row r="543" customFormat="false" ht="15" hidden="false" customHeight="false" outlineLevel="0" collapsed="false">
      <c r="K543" s="236"/>
    </row>
    <row r="544" customFormat="false" ht="15" hidden="false" customHeight="false" outlineLevel="0" collapsed="false">
      <c r="K544" s="236"/>
    </row>
    <row r="545" customFormat="false" ht="15" hidden="false" customHeight="false" outlineLevel="0" collapsed="false">
      <c r="K545" s="236"/>
    </row>
    <row r="546" customFormat="false" ht="15" hidden="false" customHeight="false" outlineLevel="0" collapsed="false">
      <c r="K546" s="236"/>
    </row>
    <row r="547" customFormat="false" ht="15" hidden="false" customHeight="false" outlineLevel="0" collapsed="false">
      <c r="K547" s="236"/>
    </row>
    <row r="548" customFormat="false" ht="15" hidden="false" customHeight="false" outlineLevel="0" collapsed="false">
      <c r="K548" s="236"/>
    </row>
    <row r="549" customFormat="false" ht="15" hidden="false" customHeight="false" outlineLevel="0" collapsed="false">
      <c r="K549" s="236"/>
    </row>
    <row r="550" customFormat="false" ht="15" hidden="false" customHeight="false" outlineLevel="0" collapsed="false">
      <c r="K550" s="236"/>
    </row>
    <row r="551" customFormat="false" ht="15" hidden="false" customHeight="false" outlineLevel="0" collapsed="false">
      <c r="K551" s="236"/>
    </row>
    <row r="552" customFormat="false" ht="15" hidden="false" customHeight="false" outlineLevel="0" collapsed="false">
      <c r="K552" s="236"/>
    </row>
    <row r="553" customFormat="false" ht="15" hidden="false" customHeight="false" outlineLevel="0" collapsed="false">
      <c r="K553" s="236"/>
    </row>
    <row r="554" customFormat="false" ht="15" hidden="false" customHeight="false" outlineLevel="0" collapsed="false">
      <c r="K554" s="236"/>
    </row>
    <row r="555" customFormat="false" ht="15" hidden="false" customHeight="false" outlineLevel="0" collapsed="false">
      <c r="K555" s="236"/>
    </row>
    <row r="556" customFormat="false" ht="15" hidden="false" customHeight="false" outlineLevel="0" collapsed="false">
      <c r="K556" s="236"/>
    </row>
    <row r="557" customFormat="false" ht="15" hidden="false" customHeight="false" outlineLevel="0" collapsed="false">
      <c r="K557" s="236"/>
    </row>
    <row r="558" customFormat="false" ht="15" hidden="false" customHeight="false" outlineLevel="0" collapsed="false">
      <c r="K558" s="236"/>
    </row>
    <row r="559" customFormat="false" ht="15" hidden="false" customHeight="false" outlineLevel="0" collapsed="false">
      <c r="K559" s="236"/>
    </row>
    <row r="560" customFormat="false" ht="15" hidden="false" customHeight="false" outlineLevel="0" collapsed="false">
      <c r="K560" s="236"/>
    </row>
    <row r="561" customFormat="false" ht="15" hidden="false" customHeight="false" outlineLevel="0" collapsed="false">
      <c r="K561" s="236"/>
    </row>
    <row r="562" customFormat="false" ht="15" hidden="false" customHeight="false" outlineLevel="0" collapsed="false">
      <c r="K562" s="236"/>
    </row>
    <row r="563" customFormat="false" ht="15" hidden="false" customHeight="false" outlineLevel="0" collapsed="false">
      <c r="K563" s="236"/>
    </row>
    <row r="564" customFormat="false" ht="15" hidden="false" customHeight="false" outlineLevel="0" collapsed="false">
      <c r="K564" s="236"/>
    </row>
    <row r="565" customFormat="false" ht="15" hidden="false" customHeight="false" outlineLevel="0" collapsed="false">
      <c r="K565" s="236"/>
    </row>
    <row r="566" customFormat="false" ht="15" hidden="false" customHeight="false" outlineLevel="0" collapsed="false">
      <c r="K566" s="236"/>
    </row>
    <row r="567" customFormat="false" ht="15" hidden="false" customHeight="false" outlineLevel="0" collapsed="false">
      <c r="K567" s="236"/>
    </row>
    <row r="568" customFormat="false" ht="15" hidden="false" customHeight="false" outlineLevel="0" collapsed="false">
      <c r="K568" s="236"/>
    </row>
    <row r="569" customFormat="false" ht="15" hidden="false" customHeight="false" outlineLevel="0" collapsed="false">
      <c r="K569" s="236"/>
    </row>
    <row r="570" customFormat="false" ht="15" hidden="false" customHeight="false" outlineLevel="0" collapsed="false">
      <c r="K570" s="236"/>
    </row>
    <row r="571" customFormat="false" ht="15" hidden="false" customHeight="false" outlineLevel="0" collapsed="false">
      <c r="K571" s="236"/>
    </row>
    <row r="572" customFormat="false" ht="15" hidden="false" customHeight="false" outlineLevel="0" collapsed="false">
      <c r="K572" s="236"/>
    </row>
    <row r="573" customFormat="false" ht="15" hidden="false" customHeight="false" outlineLevel="0" collapsed="false">
      <c r="K573" s="236"/>
    </row>
    <row r="574" customFormat="false" ht="15" hidden="false" customHeight="false" outlineLevel="0" collapsed="false">
      <c r="K574" s="236"/>
    </row>
    <row r="575" customFormat="false" ht="15" hidden="false" customHeight="false" outlineLevel="0" collapsed="false">
      <c r="K575" s="236"/>
    </row>
    <row r="576" customFormat="false" ht="15" hidden="false" customHeight="false" outlineLevel="0" collapsed="false">
      <c r="K576" s="236"/>
    </row>
    <row r="577" customFormat="false" ht="15" hidden="false" customHeight="false" outlineLevel="0" collapsed="false">
      <c r="K577" s="236"/>
    </row>
    <row r="578" customFormat="false" ht="15" hidden="false" customHeight="false" outlineLevel="0" collapsed="false">
      <c r="K578" s="236"/>
    </row>
    <row r="579" customFormat="false" ht="15" hidden="false" customHeight="false" outlineLevel="0" collapsed="false">
      <c r="K579" s="236"/>
    </row>
    <row r="580" customFormat="false" ht="15" hidden="false" customHeight="false" outlineLevel="0" collapsed="false">
      <c r="K580" s="236"/>
    </row>
    <row r="581" customFormat="false" ht="15" hidden="false" customHeight="false" outlineLevel="0" collapsed="false">
      <c r="K581" s="236"/>
    </row>
    <row r="582" customFormat="false" ht="15" hidden="false" customHeight="false" outlineLevel="0" collapsed="false">
      <c r="K582" s="236"/>
    </row>
    <row r="583" customFormat="false" ht="15" hidden="false" customHeight="false" outlineLevel="0" collapsed="false">
      <c r="K583" s="236"/>
    </row>
    <row r="584" customFormat="false" ht="15" hidden="false" customHeight="false" outlineLevel="0" collapsed="false">
      <c r="K584" s="236"/>
    </row>
    <row r="585" customFormat="false" ht="15" hidden="false" customHeight="false" outlineLevel="0" collapsed="false">
      <c r="K585" s="236"/>
    </row>
    <row r="586" customFormat="false" ht="15" hidden="false" customHeight="false" outlineLevel="0" collapsed="false">
      <c r="K586" s="236"/>
    </row>
    <row r="587" customFormat="false" ht="15" hidden="false" customHeight="false" outlineLevel="0" collapsed="false">
      <c r="K587" s="236"/>
    </row>
    <row r="588" customFormat="false" ht="15" hidden="false" customHeight="false" outlineLevel="0" collapsed="false">
      <c r="K588" s="236"/>
    </row>
    <row r="589" customFormat="false" ht="15" hidden="false" customHeight="false" outlineLevel="0" collapsed="false">
      <c r="K589" s="236"/>
    </row>
    <row r="590" customFormat="false" ht="15" hidden="false" customHeight="false" outlineLevel="0" collapsed="false">
      <c r="K590" s="236"/>
    </row>
    <row r="591" customFormat="false" ht="15" hidden="false" customHeight="false" outlineLevel="0" collapsed="false">
      <c r="K591" s="236"/>
    </row>
    <row r="592" customFormat="false" ht="15" hidden="false" customHeight="false" outlineLevel="0" collapsed="false">
      <c r="K592" s="236"/>
    </row>
    <row r="593" customFormat="false" ht="15" hidden="false" customHeight="false" outlineLevel="0" collapsed="false">
      <c r="K593" s="236"/>
    </row>
    <row r="594" customFormat="false" ht="15" hidden="false" customHeight="false" outlineLevel="0" collapsed="false">
      <c r="K594" s="236"/>
    </row>
    <row r="595" customFormat="false" ht="15" hidden="false" customHeight="false" outlineLevel="0" collapsed="false">
      <c r="K595" s="236"/>
    </row>
    <row r="596" customFormat="false" ht="15" hidden="false" customHeight="false" outlineLevel="0" collapsed="false">
      <c r="K596" s="236"/>
    </row>
    <row r="597" customFormat="false" ht="15" hidden="false" customHeight="false" outlineLevel="0" collapsed="false">
      <c r="K597" s="236"/>
    </row>
    <row r="598" customFormat="false" ht="15" hidden="false" customHeight="false" outlineLevel="0" collapsed="false">
      <c r="K598" s="236"/>
    </row>
    <row r="599" customFormat="false" ht="15" hidden="false" customHeight="false" outlineLevel="0" collapsed="false">
      <c r="K599" s="236"/>
    </row>
    <row r="600" customFormat="false" ht="15" hidden="false" customHeight="false" outlineLevel="0" collapsed="false">
      <c r="K600" s="236"/>
    </row>
    <row r="601" customFormat="false" ht="15" hidden="false" customHeight="false" outlineLevel="0" collapsed="false">
      <c r="K601" s="236"/>
    </row>
    <row r="602" customFormat="false" ht="15" hidden="false" customHeight="false" outlineLevel="0" collapsed="false">
      <c r="K602" s="236"/>
    </row>
    <row r="603" customFormat="false" ht="15" hidden="false" customHeight="false" outlineLevel="0" collapsed="false">
      <c r="K603" s="236"/>
    </row>
    <row r="604" customFormat="false" ht="15" hidden="false" customHeight="false" outlineLevel="0" collapsed="false">
      <c r="K604" s="236"/>
    </row>
    <row r="605" customFormat="false" ht="15" hidden="false" customHeight="false" outlineLevel="0" collapsed="false">
      <c r="K605" s="236"/>
    </row>
    <row r="606" customFormat="false" ht="15" hidden="false" customHeight="false" outlineLevel="0" collapsed="false">
      <c r="K606" s="236"/>
    </row>
    <row r="607" customFormat="false" ht="15" hidden="false" customHeight="false" outlineLevel="0" collapsed="false">
      <c r="K607" s="236"/>
    </row>
    <row r="608" customFormat="false" ht="15" hidden="false" customHeight="false" outlineLevel="0" collapsed="false">
      <c r="K608" s="236"/>
    </row>
    <row r="609" customFormat="false" ht="15" hidden="false" customHeight="false" outlineLevel="0" collapsed="false">
      <c r="K609" s="236"/>
    </row>
    <row r="610" customFormat="false" ht="15" hidden="false" customHeight="false" outlineLevel="0" collapsed="false">
      <c r="K610" s="236"/>
    </row>
    <row r="611" customFormat="false" ht="15" hidden="false" customHeight="false" outlineLevel="0" collapsed="false">
      <c r="K611" s="236"/>
    </row>
    <row r="612" customFormat="false" ht="15" hidden="false" customHeight="false" outlineLevel="0" collapsed="false">
      <c r="K612" s="236"/>
    </row>
    <row r="613" customFormat="false" ht="15" hidden="false" customHeight="false" outlineLevel="0" collapsed="false">
      <c r="K613" s="236"/>
    </row>
    <row r="614" customFormat="false" ht="15" hidden="false" customHeight="false" outlineLevel="0" collapsed="false">
      <c r="K614" s="236"/>
    </row>
    <row r="615" customFormat="false" ht="15" hidden="false" customHeight="false" outlineLevel="0" collapsed="false">
      <c r="K615" s="236"/>
    </row>
    <row r="616" customFormat="false" ht="15" hidden="false" customHeight="false" outlineLevel="0" collapsed="false">
      <c r="K616" s="236"/>
    </row>
    <row r="617" customFormat="false" ht="15" hidden="false" customHeight="false" outlineLevel="0" collapsed="false">
      <c r="K617" s="236"/>
    </row>
    <row r="618" customFormat="false" ht="15" hidden="false" customHeight="false" outlineLevel="0" collapsed="false">
      <c r="K618" s="236"/>
    </row>
    <row r="619" customFormat="false" ht="15" hidden="false" customHeight="false" outlineLevel="0" collapsed="false">
      <c r="K619" s="236"/>
    </row>
    <row r="620" customFormat="false" ht="15" hidden="false" customHeight="false" outlineLevel="0" collapsed="false">
      <c r="K620" s="236"/>
    </row>
    <row r="621" customFormat="false" ht="15" hidden="false" customHeight="false" outlineLevel="0" collapsed="false">
      <c r="K621" s="236"/>
    </row>
    <row r="622" customFormat="false" ht="15" hidden="false" customHeight="false" outlineLevel="0" collapsed="false">
      <c r="K622" s="236"/>
    </row>
    <row r="623" customFormat="false" ht="15" hidden="false" customHeight="false" outlineLevel="0" collapsed="false">
      <c r="K623" s="236"/>
    </row>
    <row r="624" customFormat="false" ht="15" hidden="false" customHeight="false" outlineLevel="0" collapsed="false">
      <c r="K624" s="236"/>
    </row>
    <row r="625" customFormat="false" ht="15" hidden="false" customHeight="false" outlineLevel="0" collapsed="false">
      <c r="K625" s="236"/>
    </row>
    <row r="626" customFormat="false" ht="15" hidden="false" customHeight="false" outlineLevel="0" collapsed="false">
      <c r="K626" s="236"/>
    </row>
    <row r="627" customFormat="false" ht="15" hidden="false" customHeight="false" outlineLevel="0" collapsed="false">
      <c r="K627" s="236"/>
    </row>
    <row r="628" customFormat="false" ht="15" hidden="false" customHeight="false" outlineLevel="0" collapsed="false">
      <c r="K628" s="236"/>
    </row>
    <row r="629" customFormat="false" ht="15" hidden="false" customHeight="false" outlineLevel="0" collapsed="false">
      <c r="K629" s="236"/>
    </row>
    <row r="630" customFormat="false" ht="15" hidden="false" customHeight="false" outlineLevel="0" collapsed="false">
      <c r="K630" s="236"/>
    </row>
    <row r="631" customFormat="false" ht="15" hidden="false" customHeight="false" outlineLevel="0" collapsed="false">
      <c r="K631" s="236"/>
    </row>
    <row r="632" customFormat="false" ht="15" hidden="false" customHeight="false" outlineLevel="0" collapsed="false">
      <c r="K632" s="236"/>
    </row>
    <row r="633" customFormat="false" ht="15" hidden="false" customHeight="false" outlineLevel="0" collapsed="false">
      <c r="K633" s="236"/>
    </row>
    <row r="634" customFormat="false" ht="15" hidden="false" customHeight="false" outlineLevel="0" collapsed="false">
      <c r="K634" s="236"/>
    </row>
    <row r="635" customFormat="false" ht="15" hidden="false" customHeight="false" outlineLevel="0" collapsed="false">
      <c r="K635" s="236"/>
    </row>
    <row r="636" customFormat="false" ht="15" hidden="false" customHeight="false" outlineLevel="0" collapsed="false">
      <c r="K636" s="236"/>
    </row>
    <row r="637" customFormat="false" ht="15" hidden="false" customHeight="false" outlineLevel="0" collapsed="false">
      <c r="K637" s="236"/>
    </row>
    <row r="638" customFormat="false" ht="15" hidden="false" customHeight="false" outlineLevel="0" collapsed="false">
      <c r="K638" s="236"/>
    </row>
    <row r="639" customFormat="false" ht="15" hidden="false" customHeight="false" outlineLevel="0" collapsed="false">
      <c r="K639" s="236"/>
    </row>
    <row r="640" customFormat="false" ht="15" hidden="false" customHeight="false" outlineLevel="0" collapsed="false">
      <c r="K640" s="236"/>
    </row>
    <row r="641" customFormat="false" ht="15" hidden="false" customHeight="false" outlineLevel="0" collapsed="false">
      <c r="K641" s="236"/>
    </row>
    <row r="642" customFormat="false" ht="15" hidden="false" customHeight="false" outlineLevel="0" collapsed="false">
      <c r="K642" s="236"/>
    </row>
    <row r="643" customFormat="false" ht="15" hidden="false" customHeight="false" outlineLevel="0" collapsed="false">
      <c r="K643" s="236"/>
    </row>
    <row r="644" customFormat="false" ht="15" hidden="false" customHeight="false" outlineLevel="0" collapsed="false">
      <c r="K644" s="236"/>
    </row>
    <row r="645" customFormat="false" ht="15" hidden="false" customHeight="false" outlineLevel="0" collapsed="false">
      <c r="K645" s="236"/>
    </row>
    <row r="646" customFormat="false" ht="15" hidden="false" customHeight="false" outlineLevel="0" collapsed="false">
      <c r="K646" s="236"/>
    </row>
    <row r="647" customFormat="false" ht="15" hidden="false" customHeight="false" outlineLevel="0" collapsed="false">
      <c r="K647" s="236"/>
    </row>
    <row r="648" customFormat="false" ht="15" hidden="false" customHeight="false" outlineLevel="0" collapsed="false">
      <c r="K648" s="236"/>
    </row>
    <row r="649" customFormat="false" ht="15" hidden="false" customHeight="false" outlineLevel="0" collapsed="false">
      <c r="K649" s="236"/>
    </row>
    <row r="650" customFormat="false" ht="15" hidden="false" customHeight="false" outlineLevel="0" collapsed="false">
      <c r="K650" s="236"/>
    </row>
    <row r="651" customFormat="false" ht="15" hidden="false" customHeight="false" outlineLevel="0" collapsed="false">
      <c r="K651" s="236"/>
    </row>
    <row r="652" customFormat="false" ht="15" hidden="false" customHeight="false" outlineLevel="0" collapsed="false">
      <c r="K652" s="236"/>
    </row>
    <row r="653" customFormat="false" ht="15" hidden="false" customHeight="false" outlineLevel="0" collapsed="false">
      <c r="K653" s="236"/>
    </row>
    <row r="654" customFormat="false" ht="15" hidden="false" customHeight="false" outlineLevel="0" collapsed="false">
      <c r="K654" s="236"/>
    </row>
    <row r="655" customFormat="false" ht="15" hidden="false" customHeight="false" outlineLevel="0" collapsed="false">
      <c r="K655" s="236"/>
    </row>
    <row r="656" customFormat="false" ht="15" hidden="false" customHeight="false" outlineLevel="0" collapsed="false">
      <c r="K656" s="236"/>
    </row>
    <row r="657" customFormat="false" ht="15" hidden="false" customHeight="false" outlineLevel="0" collapsed="false">
      <c r="K657" s="236"/>
    </row>
    <row r="658" customFormat="false" ht="15" hidden="false" customHeight="false" outlineLevel="0" collapsed="false">
      <c r="K658" s="236"/>
    </row>
    <row r="659" customFormat="false" ht="15" hidden="false" customHeight="false" outlineLevel="0" collapsed="false">
      <c r="K659" s="236"/>
    </row>
    <row r="660" customFormat="false" ht="15" hidden="false" customHeight="false" outlineLevel="0" collapsed="false">
      <c r="K660" s="236"/>
    </row>
    <row r="661" customFormat="false" ht="15" hidden="false" customHeight="false" outlineLevel="0" collapsed="false">
      <c r="K661" s="236"/>
    </row>
    <row r="662" customFormat="false" ht="15" hidden="false" customHeight="false" outlineLevel="0" collapsed="false">
      <c r="K662" s="236"/>
    </row>
    <row r="663" customFormat="false" ht="15" hidden="false" customHeight="false" outlineLevel="0" collapsed="false">
      <c r="K663" s="236"/>
    </row>
    <row r="664" customFormat="false" ht="15" hidden="false" customHeight="false" outlineLevel="0" collapsed="false">
      <c r="K664" s="236"/>
    </row>
    <row r="665" customFormat="false" ht="15" hidden="false" customHeight="false" outlineLevel="0" collapsed="false">
      <c r="K665" s="236"/>
    </row>
    <row r="666" customFormat="false" ht="15" hidden="false" customHeight="false" outlineLevel="0" collapsed="false">
      <c r="K666" s="236"/>
    </row>
    <row r="667" customFormat="false" ht="15" hidden="false" customHeight="false" outlineLevel="0" collapsed="false">
      <c r="K667" s="236"/>
    </row>
    <row r="668" customFormat="false" ht="15" hidden="false" customHeight="false" outlineLevel="0" collapsed="false">
      <c r="K668" s="236"/>
    </row>
    <row r="669" customFormat="false" ht="15" hidden="false" customHeight="false" outlineLevel="0" collapsed="false">
      <c r="K669" s="236"/>
    </row>
    <row r="670" customFormat="false" ht="15" hidden="false" customHeight="false" outlineLevel="0" collapsed="false">
      <c r="K670" s="236"/>
    </row>
    <row r="671" customFormat="false" ht="15" hidden="false" customHeight="false" outlineLevel="0" collapsed="false">
      <c r="K671" s="236"/>
    </row>
    <row r="672" customFormat="false" ht="15" hidden="false" customHeight="false" outlineLevel="0" collapsed="false">
      <c r="K672" s="236"/>
    </row>
    <row r="673" customFormat="false" ht="15" hidden="false" customHeight="false" outlineLevel="0" collapsed="false">
      <c r="K673" s="236"/>
    </row>
    <row r="674" customFormat="false" ht="15" hidden="false" customHeight="false" outlineLevel="0" collapsed="false">
      <c r="K674" s="236"/>
    </row>
    <row r="675" customFormat="false" ht="15" hidden="false" customHeight="false" outlineLevel="0" collapsed="false">
      <c r="K675" s="236"/>
    </row>
    <row r="676" customFormat="false" ht="15" hidden="false" customHeight="false" outlineLevel="0" collapsed="false">
      <c r="K676" s="236"/>
    </row>
    <row r="677" customFormat="false" ht="15" hidden="false" customHeight="false" outlineLevel="0" collapsed="false">
      <c r="K677" s="236"/>
    </row>
    <row r="678" customFormat="false" ht="15" hidden="false" customHeight="false" outlineLevel="0" collapsed="false">
      <c r="K678" s="236"/>
    </row>
    <row r="679" customFormat="false" ht="15" hidden="false" customHeight="false" outlineLevel="0" collapsed="false">
      <c r="K679" s="236"/>
    </row>
    <row r="680" customFormat="false" ht="15" hidden="false" customHeight="false" outlineLevel="0" collapsed="false">
      <c r="K680" s="236"/>
    </row>
    <row r="681" customFormat="false" ht="15" hidden="false" customHeight="false" outlineLevel="0" collapsed="false">
      <c r="K681" s="236"/>
    </row>
    <row r="682" customFormat="false" ht="15" hidden="false" customHeight="false" outlineLevel="0" collapsed="false">
      <c r="K682" s="236"/>
    </row>
    <row r="683" customFormat="false" ht="15" hidden="false" customHeight="false" outlineLevel="0" collapsed="false">
      <c r="K683" s="236"/>
    </row>
    <row r="684" customFormat="false" ht="15" hidden="false" customHeight="false" outlineLevel="0" collapsed="false">
      <c r="K684" s="236"/>
    </row>
    <row r="685" customFormat="false" ht="15" hidden="false" customHeight="false" outlineLevel="0" collapsed="false">
      <c r="K685" s="236"/>
    </row>
    <row r="686" customFormat="false" ht="15" hidden="false" customHeight="false" outlineLevel="0" collapsed="false">
      <c r="K686" s="236"/>
    </row>
    <row r="687" customFormat="false" ht="15" hidden="false" customHeight="false" outlineLevel="0" collapsed="false">
      <c r="K687" s="236"/>
    </row>
    <row r="688" customFormat="false" ht="15" hidden="false" customHeight="false" outlineLevel="0" collapsed="false">
      <c r="K688" s="236"/>
    </row>
    <row r="689" customFormat="false" ht="15" hidden="false" customHeight="false" outlineLevel="0" collapsed="false">
      <c r="K689" s="236"/>
    </row>
    <row r="690" customFormat="false" ht="15" hidden="false" customHeight="false" outlineLevel="0" collapsed="false">
      <c r="K690" s="236"/>
    </row>
    <row r="691" customFormat="false" ht="15" hidden="false" customHeight="false" outlineLevel="0" collapsed="false">
      <c r="K691" s="236"/>
    </row>
    <row r="692" customFormat="false" ht="15" hidden="false" customHeight="false" outlineLevel="0" collapsed="false">
      <c r="K692" s="236"/>
    </row>
    <row r="693" customFormat="false" ht="15" hidden="false" customHeight="false" outlineLevel="0" collapsed="false">
      <c r="K693" s="236"/>
    </row>
    <row r="694" customFormat="false" ht="15" hidden="false" customHeight="false" outlineLevel="0" collapsed="false">
      <c r="K694" s="236"/>
    </row>
    <row r="695" customFormat="false" ht="15" hidden="false" customHeight="false" outlineLevel="0" collapsed="false">
      <c r="K695" s="236"/>
    </row>
    <row r="696" customFormat="false" ht="15" hidden="false" customHeight="false" outlineLevel="0" collapsed="false">
      <c r="K696" s="236"/>
    </row>
    <row r="697" customFormat="false" ht="15" hidden="false" customHeight="false" outlineLevel="0" collapsed="false">
      <c r="K697" s="236"/>
    </row>
    <row r="698" customFormat="false" ht="15" hidden="false" customHeight="false" outlineLevel="0" collapsed="false">
      <c r="K698" s="236"/>
    </row>
    <row r="699" customFormat="false" ht="15" hidden="false" customHeight="false" outlineLevel="0" collapsed="false">
      <c r="K699" s="236"/>
    </row>
    <row r="700" customFormat="false" ht="15" hidden="false" customHeight="false" outlineLevel="0" collapsed="false">
      <c r="K700" s="236"/>
    </row>
    <row r="701" customFormat="false" ht="15" hidden="false" customHeight="false" outlineLevel="0" collapsed="false">
      <c r="K701" s="236"/>
    </row>
    <row r="702" customFormat="false" ht="15" hidden="false" customHeight="false" outlineLevel="0" collapsed="false">
      <c r="K702" s="236"/>
    </row>
    <row r="703" customFormat="false" ht="15" hidden="false" customHeight="false" outlineLevel="0" collapsed="false">
      <c r="K703" s="236"/>
    </row>
    <row r="704" customFormat="false" ht="15" hidden="false" customHeight="false" outlineLevel="0" collapsed="false">
      <c r="K704" s="236"/>
    </row>
    <row r="705" customFormat="false" ht="15" hidden="false" customHeight="false" outlineLevel="0" collapsed="false">
      <c r="K705" s="236"/>
    </row>
    <row r="706" customFormat="false" ht="15" hidden="false" customHeight="false" outlineLevel="0" collapsed="false">
      <c r="K706" s="236"/>
    </row>
    <row r="707" customFormat="false" ht="15" hidden="false" customHeight="false" outlineLevel="0" collapsed="false">
      <c r="K707" s="236"/>
    </row>
    <row r="708" customFormat="false" ht="15" hidden="false" customHeight="false" outlineLevel="0" collapsed="false">
      <c r="K708" s="236"/>
    </row>
    <row r="709" customFormat="false" ht="15" hidden="false" customHeight="false" outlineLevel="0" collapsed="false">
      <c r="K709" s="236"/>
    </row>
    <row r="710" customFormat="false" ht="15" hidden="false" customHeight="false" outlineLevel="0" collapsed="false">
      <c r="K710" s="236"/>
    </row>
    <row r="711" customFormat="false" ht="15" hidden="false" customHeight="false" outlineLevel="0" collapsed="false">
      <c r="K711" s="236"/>
    </row>
    <row r="712" customFormat="false" ht="15" hidden="false" customHeight="false" outlineLevel="0" collapsed="false">
      <c r="K712" s="236"/>
    </row>
    <row r="713" customFormat="false" ht="15" hidden="false" customHeight="false" outlineLevel="0" collapsed="false">
      <c r="K713" s="236"/>
    </row>
    <row r="714" customFormat="false" ht="15" hidden="false" customHeight="false" outlineLevel="0" collapsed="false">
      <c r="K714" s="236"/>
    </row>
    <row r="715" customFormat="false" ht="15" hidden="false" customHeight="false" outlineLevel="0" collapsed="false">
      <c r="K715" s="236"/>
    </row>
    <row r="716" customFormat="false" ht="15" hidden="false" customHeight="false" outlineLevel="0" collapsed="false">
      <c r="K716" s="236"/>
    </row>
    <row r="717" customFormat="false" ht="15" hidden="false" customHeight="false" outlineLevel="0" collapsed="false">
      <c r="K717" s="236"/>
    </row>
    <row r="718" customFormat="false" ht="15" hidden="false" customHeight="false" outlineLevel="0" collapsed="false">
      <c r="K718" s="236"/>
    </row>
    <row r="719" customFormat="false" ht="15" hidden="false" customHeight="false" outlineLevel="0" collapsed="false">
      <c r="K719" s="236"/>
    </row>
    <row r="720" customFormat="false" ht="15" hidden="false" customHeight="false" outlineLevel="0" collapsed="false">
      <c r="K720" s="236"/>
    </row>
    <row r="721" customFormat="false" ht="15" hidden="false" customHeight="false" outlineLevel="0" collapsed="false">
      <c r="K721" s="236"/>
    </row>
    <row r="722" customFormat="false" ht="15" hidden="false" customHeight="false" outlineLevel="0" collapsed="false">
      <c r="K722" s="236"/>
    </row>
    <row r="723" customFormat="false" ht="15" hidden="false" customHeight="false" outlineLevel="0" collapsed="false">
      <c r="K723" s="236"/>
    </row>
    <row r="724" customFormat="false" ht="15" hidden="false" customHeight="false" outlineLevel="0" collapsed="false">
      <c r="K724" s="236"/>
    </row>
    <row r="725" customFormat="false" ht="15" hidden="false" customHeight="false" outlineLevel="0" collapsed="false">
      <c r="K725" s="236"/>
    </row>
    <row r="726" customFormat="false" ht="15" hidden="false" customHeight="false" outlineLevel="0" collapsed="false">
      <c r="K726" s="236"/>
    </row>
    <row r="727" customFormat="false" ht="15" hidden="false" customHeight="false" outlineLevel="0" collapsed="false">
      <c r="K727" s="236"/>
    </row>
    <row r="728" customFormat="false" ht="15" hidden="false" customHeight="false" outlineLevel="0" collapsed="false">
      <c r="K728" s="236"/>
    </row>
    <row r="729" customFormat="false" ht="15" hidden="false" customHeight="false" outlineLevel="0" collapsed="false">
      <c r="K729" s="236"/>
    </row>
    <row r="730" customFormat="false" ht="15" hidden="false" customHeight="false" outlineLevel="0" collapsed="false">
      <c r="K730" s="236"/>
    </row>
    <row r="731" customFormat="false" ht="15" hidden="false" customHeight="false" outlineLevel="0" collapsed="false">
      <c r="K731" s="236"/>
    </row>
    <row r="732" customFormat="false" ht="15" hidden="false" customHeight="false" outlineLevel="0" collapsed="false">
      <c r="K732" s="236"/>
    </row>
    <row r="733" customFormat="false" ht="15" hidden="false" customHeight="false" outlineLevel="0" collapsed="false">
      <c r="K733" s="236"/>
    </row>
    <row r="734" customFormat="false" ht="15" hidden="false" customHeight="false" outlineLevel="0" collapsed="false">
      <c r="K734" s="236"/>
    </row>
    <row r="735" customFormat="false" ht="15" hidden="false" customHeight="false" outlineLevel="0" collapsed="false">
      <c r="K735" s="236"/>
    </row>
    <row r="736" customFormat="false" ht="15" hidden="false" customHeight="false" outlineLevel="0" collapsed="false">
      <c r="K736" s="236"/>
    </row>
    <row r="737" customFormat="false" ht="15" hidden="false" customHeight="false" outlineLevel="0" collapsed="false">
      <c r="K737" s="236"/>
    </row>
    <row r="738" customFormat="false" ht="15" hidden="false" customHeight="false" outlineLevel="0" collapsed="false">
      <c r="K738" s="236"/>
    </row>
    <row r="739" customFormat="false" ht="15" hidden="false" customHeight="false" outlineLevel="0" collapsed="false">
      <c r="K739" s="236"/>
    </row>
    <row r="740" customFormat="false" ht="15" hidden="false" customHeight="false" outlineLevel="0" collapsed="false">
      <c r="K740" s="236"/>
    </row>
    <row r="741" customFormat="false" ht="15" hidden="false" customHeight="false" outlineLevel="0" collapsed="false">
      <c r="K741" s="236"/>
    </row>
    <row r="742" customFormat="false" ht="15" hidden="false" customHeight="false" outlineLevel="0" collapsed="false">
      <c r="K742" s="236"/>
    </row>
    <row r="743" customFormat="false" ht="15" hidden="false" customHeight="false" outlineLevel="0" collapsed="false">
      <c r="K743" s="236"/>
    </row>
    <row r="744" customFormat="false" ht="15" hidden="false" customHeight="false" outlineLevel="0" collapsed="false">
      <c r="K744" s="236"/>
    </row>
    <row r="745" customFormat="false" ht="15" hidden="false" customHeight="false" outlineLevel="0" collapsed="false">
      <c r="K745" s="236"/>
    </row>
    <row r="746" customFormat="false" ht="15" hidden="false" customHeight="false" outlineLevel="0" collapsed="false">
      <c r="K746" s="236"/>
    </row>
    <row r="747" customFormat="false" ht="15" hidden="false" customHeight="false" outlineLevel="0" collapsed="false">
      <c r="K747" s="236"/>
    </row>
    <row r="748" customFormat="false" ht="15" hidden="false" customHeight="false" outlineLevel="0" collapsed="false">
      <c r="K748" s="236"/>
    </row>
    <row r="749" customFormat="false" ht="15" hidden="false" customHeight="false" outlineLevel="0" collapsed="false">
      <c r="K749" s="236"/>
    </row>
    <row r="750" customFormat="false" ht="15" hidden="false" customHeight="false" outlineLevel="0" collapsed="false">
      <c r="K750" s="236"/>
    </row>
    <row r="751" customFormat="false" ht="15" hidden="false" customHeight="false" outlineLevel="0" collapsed="false">
      <c r="K751" s="236"/>
    </row>
    <row r="752" customFormat="false" ht="15" hidden="false" customHeight="false" outlineLevel="0" collapsed="false">
      <c r="K752" s="236"/>
    </row>
    <row r="753" customFormat="false" ht="15" hidden="false" customHeight="false" outlineLevel="0" collapsed="false">
      <c r="K753" s="236"/>
    </row>
    <row r="754" customFormat="false" ht="15" hidden="false" customHeight="false" outlineLevel="0" collapsed="false">
      <c r="K754" s="236"/>
    </row>
    <row r="755" customFormat="false" ht="15" hidden="false" customHeight="false" outlineLevel="0" collapsed="false">
      <c r="K755" s="236"/>
    </row>
    <row r="756" customFormat="false" ht="15" hidden="false" customHeight="false" outlineLevel="0" collapsed="false">
      <c r="K756" s="236"/>
    </row>
    <row r="757" customFormat="false" ht="15" hidden="false" customHeight="false" outlineLevel="0" collapsed="false">
      <c r="K757" s="236"/>
    </row>
    <row r="758" customFormat="false" ht="15" hidden="false" customHeight="false" outlineLevel="0" collapsed="false">
      <c r="K758" s="236"/>
    </row>
    <row r="759" customFormat="false" ht="15" hidden="false" customHeight="false" outlineLevel="0" collapsed="false">
      <c r="K759" s="236"/>
    </row>
    <row r="760" customFormat="false" ht="15" hidden="false" customHeight="false" outlineLevel="0" collapsed="false">
      <c r="K760" s="236"/>
    </row>
    <row r="761" customFormat="false" ht="15" hidden="false" customHeight="false" outlineLevel="0" collapsed="false">
      <c r="K761" s="236"/>
    </row>
    <row r="762" customFormat="false" ht="15" hidden="false" customHeight="false" outlineLevel="0" collapsed="false">
      <c r="K762" s="236"/>
    </row>
    <row r="763" customFormat="false" ht="15" hidden="false" customHeight="false" outlineLevel="0" collapsed="false">
      <c r="K763" s="236"/>
    </row>
    <row r="764" customFormat="false" ht="15" hidden="false" customHeight="false" outlineLevel="0" collapsed="false">
      <c r="K764" s="236"/>
    </row>
    <row r="765" customFormat="false" ht="15" hidden="false" customHeight="false" outlineLevel="0" collapsed="false">
      <c r="K765" s="236"/>
    </row>
    <row r="766" customFormat="false" ht="15" hidden="false" customHeight="false" outlineLevel="0" collapsed="false">
      <c r="K766" s="236"/>
    </row>
    <row r="767" customFormat="false" ht="15" hidden="false" customHeight="false" outlineLevel="0" collapsed="false">
      <c r="K767" s="236"/>
    </row>
    <row r="768" customFormat="false" ht="15" hidden="false" customHeight="false" outlineLevel="0" collapsed="false">
      <c r="K768" s="236"/>
    </row>
    <row r="769" customFormat="false" ht="15" hidden="false" customHeight="false" outlineLevel="0" collapsed="false">
      <c r="K769" s="236"/>
    </row>
    <row r="770" customFormat="false" ht="15" hidden="false" customHeight="false" outlineLevel="0" collapsed="false">
      <c r="K770" s="236"/>
    </row>
    <row r="771" customFormat="false" ht="15" hidden="false" customHeight="false" outlineLevel="0" collapsed="false">
      <c r="K771" s="236"/>
    </row>
    <row r="772" customFormat="false" ht="15" hidden="false" customHeight="false" outlineLevel="0" collapsed="false">
      <c r="K772" s="236"/>
    </row>
    <row r="773" customFormat="false" ht="15" hidden="false" customHeight="false" outlineLevel="0" collapsed="false">
      <c r="K773" s="236"/>
    </row>
    <row r="774" customFormat="false" ht="15" hidden="false" customHeight="false" outlineLevel="0" collapsed="false">
      <c r="K774" s="236"/>
    </row>
    <row r="775" customFormat="false" ht="15" hidden="false" customHeight="false" outlineLevel="0" collapsed="false">
      <c r="K775" s="236"/>
    </row>
    <row r="776" customFormat="false" ht="15" hidden="false" customHeight="false" outlineLevel="0" collapsed="false">
      <c r="K776" s="236"/>
    </row>
    <row r="777" customFormat="false" ht="15" hidden="false" customHeight="false" outlineLevel="0" collapsed="false">
      <c r="K777" s="236"/>
    </row>
    <row r="778" customFormat="false" ht="15" hidden="false" customHeight="false" outlineLevel="0" collapsed="false">
      <c r="K778" s="236"/>
    </row>
    <row r="779" customFormat="false" ht="15" hidden="false" customHeight="false" outlineLevel="0" collapsed="false">
      <c r="K779" s="236"/>
    </row>
    <row r="780" customFormat="false" ht="15" hidden="false" customHeight="false" outlineLevel="0" collapsed="false">
      <c r="K780" s="236"/>
    </row>
    <row r="781" customFormat="false" ht="15" hidden="false" customHeight="false" outlineLevel="0" collapsed="false">
      <c r="K781" s="236"/>
    </row>
    <row r="782" customFormat="false" ht="15" hidden="false" customHeight="false" outlineLevel="0" collapsed="false">
      <c r="K782" s="236"/>
    </row>
    <row r="783" customFormat="false" ht="15" hidden="false" customHeight="false" outlineLevel="0" collapsed="false">
      <c r="K783" s="236"/>
    </row>
    <row r="784" customFormat="false" ht="15" hidden="false" customHeight="false" outlineLevel="0" collapsed="false">
      <c r="K784" s="236"/>
    </row>
    <row r="785" customFormat="false" ht="15" hidden="false" customHeight="false" outlineLevel="0" collapsed="false">
      <c r="K785" s="236"/>
    </row>
    <row r="786" customFormat="false" ht="15" hidden="false" customHeight="false" outlineLevel="0" collapsed="false">
      <c r="K786" s="236"/>
    </row>
    <row r="787" customFormat="false" ht="15" hidden="false" customHeight="false" outlineLevel="0" collapsed="false">
      <c r="K787" s="236"/>
    </row>
    <row r="788" customFormat="false" ht="15" hidden="false" customHeight="false" outlineLevel="0" collapsed="false">
      <c r="K788" s="236"/>
    </row>
    <row r="789" customFormat="false" ht="15" hidden="false" customHeight="false" outlineLevel="0" collapsed="false">
      <c r="K789" s="236"/>
    </row>
    <row r="790" customFormat="false" ht="15" hidden="false" customHeight="false" outlineLevel="0" collapsed="false">
      <c r="K790" s="236"/>
    </row>
    <row r="791" customFormat="false" ht="15" hidden="false" customHeight="false" outlineLevel="0" collapsed="false">
      <c r="K791" s="236"/>
    </row>
    <row r="792" customFormat="false" ht="15" hidden="false" customHeight="false" outlineLevel="0" collapsed="false">
      <c r="K792" s="236"/>
    </row>
    <row r="793" customFormat="false" ht="15" hidden="false" customHeight="false" outlineLevel="0" collapsed="false">
      <c r="K793" s="236"/>
    </row>
    <row r="794" customFormat="false" ht="15" hidden="false" customHeight="false" outlineLevel="0" collapsed="false">
      <c r="K794" s="236"/>
    </row>
    <row r="795" customFormat="false" ht="15" hidden="false" customHeight="false" outlineLevel="0" collapsed="false">
      <c r="K795" s="236"/>
    </row>
    <row r="796" customFormat="false" ht="15" hidden="false" customHeight="false" outlineLevel="0" collapsed="false">
      <c r="K796" s="236"/>
    </row>
    <row r="797" customFormat="false" ht="15" hidden="false" customHeight="false" outlineLevel="0" collapsed="false">
      <c r="K797" s="236"/>
    </row>
    <row r="798" customFormat="false" ht="15" hidden="false" customHeight="false" outlineLevel="0" collapsed="false">
      <c r="K798" s="236"/>
    </row>
    <row r="799" customFormat="false" ht="15" hidden="false" customHeight="false" outlineLevel="0" collapsed="false">
      <c r="K799" s="236"/>
    </row>
    <row r="800" customFormat="false" ht="15" hidden="false" customHeight="false" outlineLevel="0" collapsed="false">
      <c r="K800" s="236"/>
    </row>
    <row r="801" customFormat="false" ht="15" hidden="false" customHeight="false" outlineLevel="0" collapsed="false">
      <c r="K801" s="236"/>
    </row>
    <row r="802" customFormat="false" ht="15" hidden="false" customHeight="false" outlineLevel="0" collapsed="false">
      <c r="K802" s="236"/>
    </row>
    <row r="803" customFormat="false" ht="15" hidden="false" customHeight="false" outlineLevel="0" collapsed="false">
      <c r="K803" s="236"/>
    </row>
    <row r="804" customFormat="false" ht="15" hidden="false" customHeight="false" outlineLevel="0" collapsed="false">
      <c r="K804" s="236"/>
    </row>
    <row r="805" customFormat="false" ht="15" hidden="false" customHeight="false" outlineLevel="0" collapsed="false">
      <c r="K805" s="236"/>
    </row>
    <row r="806" customFormat="false" ht="15" hidden="false" customHeight="false" outlineLevel="0" collapsed="false">
      <c r="K806" s="236"/>
    </row>
    <row r="807" customFormat="false" ht="15" hidden="false" customHeight="false" outlineLevel="0" collapsed="false">
      <c r="K807" s="236"/>
    </row>
    <row r="808" customFormat="false" ht="15" hidden="false" customHeight="false" outlineLevel="0" collapsed="false">
      <c r="K808" s="236"/>
    </row>
    <row r="809" customFormat="false" ht="15" hidden="false" customHeight="false" outlineLevel="0" collapsed="false">
      <c r="K809" s="236"/>
    </row>
    <row r="810" customFormat="false" ht="15" hidden="false" customHeight="false" outlineLevel="0" collapsed="false">
      <c r="K810" s="236"/>
    </row>
    <row r="811" customFormat="false" ht="15" hidden="false" customHeight="false" outlineLevel="0" collapsed="false">
      <c r="K811" s="236"/>
    </row>
    <row r="812" customFormat="false" ht="15" hidden="false" customHeight="false" outlineLevel="0" collapsed="false">
      <c r="K812" s="236"/>
    </row>
    <row r="813" customFormat="false" ht="15" hidden="false" customHeight="false" outlineLevel="0" collapsed="false">
      <c r="K813" s="236"/>
    </row>
    <row r="814" customFormat="false" ht="15" hidden="false" customHeight="false" outlineLevel="0" collapsed="false">
      <c r="K814" s="236"/>
    </row>
    <row r="815" customFormat="false" ht="15" hidden="false" customHeight="false" outlineLevel="0" collapsed="false">
      <c r="K815" s="236"/>
    </row>
    <row r="816" customFormat="false" ht="15" hidden="false" customHeight="false" outlineLevel="0" collapsed="false">
      <c r="K816" s="236"/>
    </row>
    <row r="817" customFormat="false" ht="15" hidden="false" customHeight="false" outlineLevel="0" collapsed="false">
      <c r="K817" s="236"/>
    </row>
    <row r="818" customFormat="false" ht="15" hidden="false" customHeight="false" outlineLevel="0" collapsed="false">
      <c r="K818" s="236"/>
    </row>
    <row r="819" customFormat="false" ht="15" hidden="false" customHeight="false" outlineLevel="0" collapsed="false">
      <c r="K819" s="236"/>
    </row>
    <row r="820" customFormat="false" ht="15" hidden="false" customHeight="false" outlineLevel="0" collapsed="false">
      <c r="K820" s="236"/>
    </row>
    <row r="821" customFormat="false" ht="15" hidden="false" customHeight="false" outlineLevel="0" collapsed="false">
      <c r="K821" s="236"/>
    </row>
    <row r="822" customFormat="false" ht="15" hidden="false" customHeight="false" outlineLevel="0" collapsed="false">
      <c r="K822" s="236"/>
    </row>
    <row r="823" customFormat="false" ht="15" hidden="false" customHeight="false" outlineLevel="0" collapsed="false">
      <c r="K823" s="236"/>
    </row>
    <row r="824" customFormat="false" ht="15" hidden="false" customHeight="false" outlineLevel="0" collapsed="false">
      <c r="K824" s="236"/>
    </row>
    <row r="825" customFormat="false" ht="15" hidden="false" customHeight="false" outlineLevel="0" collapsed="false">
      <c r="K825" s="236"/>
    </row>
    <row r="826" customFormat="false" ht="15" hidden="false" customHeight="false" outlineLevel="0" collapsed="false">
      <c r="K826" s="236"/>
    </row>
    <row r="827" customFormat="false" ht="15" hidden="false" customHeight="false" outlineLevel="0" collapsed="false">
      <c r="K827" s="236"/>
    </row>
    <row r="828" customFormat="false" ht="15" hidden="false" customHeight="false" outlineLevel="0" collapsed="false">
      <c r="K828" s="236"/>
    </row>
    <row r="829" customFormat="false" ht="15" hidden="false" customHeight="false" outlineLevel="0" collapsed="false">
      <c r="K829" s="236"/>
    </row>
    <row r="830" customFormat="false" ht="15" hidden="false" customHeight="false" outlineLevel="0" collapsed="false">
      <c r="K830" s="236"/>
    </row>
    <row r="831" customFormat="false" ht="15" hidden="false" customHeight="false" outlineLevel="0" collapsed="false">
      <c r="K831" s="236"/>
    </row>
    <row r="832" customFormat="false" ht="15" hidden="false" customHeight="false" outlineLevel="0" collapsed="false">
      <c r="K832" s="236"/>
    </row>
    <row r="833" customFormat="false" ht="15" hidden="false" customHeight="false" outlineLevel="0" collapsed="false">
      <c r="K833" s="236"/>
    </row>
    <row r="834" customFormat="false" ht="15" hidden="false" customHeight="false" outlineLevel="0" collapsed="false">
      <c r="K834" s="236"/>
    </row>
    <row r="835" customFormat="false" ht="15" hidden="false" customHeight="false" outlineLevel="0" collapsed="false">
      <c r="K835" s="236"/>
    </row>
    <row r="836" customFormat="false" ht="15" hidden="false" customHeight="false" outlineLevel="0" collapsed="false">
      <c r="K836" s="236"/>
    </row>
    <row r="837" customFormat="false" ht="15" hidden="false" customHeight="false" outlineLevel="0" collapsed="false">
      <c r="K837" s="236"/>
    </row>
    <row r="838" customFormat="false" ht="15" hidden="false" customHeight="false" outlineLevel="0" collapsed="false">
      <c r="K838" s="236"/>
    </row>
    <row r="839" customFormat="false" ht="15" hidden="false" customHeight="false" outlineLevel="0" collapsed="false">
      <c r="K839" s="236"/>
    </row>
    <row r="840" customFormat="false" ht="15" hidden="false" customHeight="false" outlineLevel="0" collapsed="false">
      <c r="K840" s="236"/>
    </row>
    <row r="841" customFormat="false" ht="15" hidden="false" customHeight="false" outlineLevel="0" collapsed="false">
      <c r="K841" s="236"/>
    </row>
    <row r="842" customFormat="false" ht="15" hidden="false" customHeight="false" outlineLevel="0" collapsed="false">
      <c r="K842" s="236"/>
    </row>
    <row r="843" customFormat="false" ht="15" hidden="false" customHeight="false" outlineLevel="0" collapsed="false">
      <c r="K843" s="236"/>
    </row>
    <row r="844" customFormat="false" ht="15" hidden="false" customHeight="false" outlineLevel="0" collapsed="false">
      <c r="K844" s="236"/>
    </row>
    <row r="845" customFormat="false" ht="15" hidden="false" customHeight="false" outlineLevel="0" collapsed="false">
      <c r="K845" s="236"/>
    </row>
    <row r="846" customFormat="false" ht="15" hidden="false" customHeight="false" outlineLevel="0" collapsed="false">
      <c r="K846" s="236"/>
    </row>
    <row r="847" customFormat="false" ht="15" hidden="false" customHeight="false" outlineLevel="0" collapsed="false">
      <c r="K847" s="236"/>
    </row>
    <row r="848" customFormat="false" ht="15" hidden="false" customHeight="false" outlineLevel="0" collapsed="false">
      <c r="K848" s="236"/>
    </row>
    <row r="849" customFormat="false" ht="15" hidden="false" customHeight="false" outlineLevel="0" collapsed="false">
      <c r="K849" s="236"/>
    </row>
    <row r="850" customFormat="false" ht="15" hidden="false" customHeight="false" outlineLevel="0" collapsed="false">
      <c r="K850" s="236"/>
    </row>
    <row r="851" customFormat="false" ht="15" hidden="false" customHeight="false" outlineLevel="0" collapsed="false">
      <c r="K851" s="236"/>
    </row>
    <row r="852" customFormat="false" ht="15" hidden="false" customHeight="false" outlineLevel="0" collapsed="false">
      <c r="K852" s="236"/>
    </row>
    <row r="853" customFormat="false" ht="15" hidden="false" customHeight="false" outlineLevel="0" collapsed="false">
      <c r="K853" s="236"/>
    </row>
    <row r="854" customFormat="false" ht="15" hidden="false" customHeight="false" outlineLevel="0" collapsed="false">
      <c r="K854" s="236"/>
    </row>
    <row r="855" customFormat="false" ht="15" hidden="false" customHeight="false" outlineLevel="0" collapsed="false">
      <c r="K855" s="236"/>
    </row>
    <row r="856" customFormat="false" ht="15" hidden="false" customHeight="false" outlineLevel="0" collapsed="false">
      <c r="K856" s="236"/>
    </row>
    <row r="857" customFormat="false" ht="15" hidden="false" customHeight="false" outlineLevel="0" collapsed="false">
      <c r="K857" s="236"/>
    </row>
    <row r="858" customFormat="false" ht="15" hidden="false" customHeight="false" outlineLevel="0" collapsed="false">
      <c r="K858" s="236"/>
    </row>
    <row r="859" customFormat="false" ht="15" hidden="false" customHeight="false" outlineLevel="0" collapsed="false">
      <c r="K859" s="236"/>
    </row>
    <row r="860" customFormat="false" ht="15" hidden="false" customHeight="false" outlineLevel="0" collapsed="false">
      <c r="K860" s="236"/>
    </row>
    <row r="861" customFormat="false" ht="15" hidden="false" customHeight="false" outlineLevel="0" collapsed="false">
      <c r="K861" s="236"/>
    </row>
    <row r="862" customFormat="false" ht="15" hidden="false" customHeight="false" outlineLevel="0" collapsed="false">
      <c r="K862" s="236"/>
    </row>
    <row r="863" customFormat="false" ht="15" hidden="false" customHeight="false" outlineLevel="0" collapsed="false">
      <c r="K863" s="236"/>
    </row>
    <row r="864" customFormat="false" ht="15" hidden="false" customHeight="false" outlineLevel="0" collapsed="false">
      <c r="K864" s="236"/>
    </row>
    <row r="865" customFormat="false" ht="15" hidden="false" customHeight="false" outlineLevel="0" collapsed="false">
      <c r="K865" s="236"/>
    </row>
    <row r="866" customFormat="false" ht="15" hidden="false" customHeight="false" outlineLevel="0" collapsed="false">
      <c r="K866" s="236"/>
    </row>
    <row r="867" customFormat="false" ht="15" hidden="false" customHeight="false" outlineLevel="0" collapsed="false">
      <c r="K867" s="236"/>
    </row>
    <row r="868" customFormat="false" ht="15" hidden="false" customHeight="false" outlineLevel="0" collapsed="false">
      <c r="K868" s="236"/>
    </row>
    <row r="869" customFormat="false" ht="15" hidden="false" customHeight="false" outlineLevel="0" collapsed="false">
      <c r="K869" s="236"/>
    </row>
    <row r="870" customFormat="false" ht="15" hidden="false" customHeight="false" outlineLevel="0" collapsed="false">
      <c r="K870" s="236"/>
    </row>
    <row r="871" customFormat="false" ht="15" hidden="false" customHeight="false" outlineLevel="0" collapsed="false">
      <c r="K871" s="236"/>
    </row>
    <row r="872" customFormat="false" ht="15" hidden="false" customHeight="false" outlineLevel="0" collapsed="false">
      <c r="K872" s="236"/>
    </row>
    <row r="873" customFormat="false" ht="15" hidden="false" customHeight="false" outlineLevel="0" collapsed="false">
      <c r="K873" s="236"/>
    </row>
    <row r="874" customFormat="false" ht="15" hidden="false" customHeight="false" outlineLevel="0" collapsed="false">
      <c r="K874" s="236"/>
    </row>
    <row r="875" customFormat="false" ht="15" hidden="false" customHeight="false" outlineLevel="0" collapsed="false">
      <c r="K875" s="236"/>
    </row>
    <row r="876" customFormat="false" ht="15" hidden="false" customHeight="false" outlineLevel="0" collapsed="false">
      <c r="K876" s="236"/>
    </row>
    <row r="877" customFormat="false" ht="15" hidden="false" customHeight="false" outlineLevel="0" collapsed="false">
      <c r="K877" s="236"/>
    </row>
    <row r="878" customFormat="false" ht="15" hidden="false" customHeight="false" outlineLevel="0" collapsed="false">
      <c r="K878" s="236"/>
    </row>
    <row r="879" customFormat="false" ht="15" hidden="false" customHeight="false" outlineLevel="0" collapsed="false">
      <c r="K879" s="236"/>
    </row>
    <row r="880" customFormat="false" ht="15" hidden="false" customHeight="false" outlineLevel="0" collapsed="false">
      <c r="K880" s="236"/>
    </row>
    <row r="881" customFormat="false" ht="15" hidden="false" customHeight="false" outlineLevel="0" collapsed="false">
      <c r="K881" s="236"/>
    </row>
    <row r="882" customFormat="false" ht="15" hidden="false" customHeight="false" outlineLevel="0" collapsed="false">
      <c r="K882" s="236"/>
    </row>
    <row r="883" customFormat="false" ht="15" hidden="false" customHeight="false" outlineLevel="0" collapsed="false">
      <c r="K883" s="236"/>
    </row>
    <row r="884" customFormat="false" ht="15" hidden="false" customHeight="false" outlineLevel="0" collapsed="false">
      <c r="K884" s="236"/>
    </row>
    <row r="885" customFormat="false" ht="15" hidden="false" customHeight="false" outlineLevel="0" collapsed="false">
      <c r="K885" s="236"/>
    </row>
    <row r="886" customFormat="false" ht="15" hidden="false" customHeight="false" outlineLevel="0" collapsed="false">
      <c r="K886" s="236"/>
    </row>
    <row r="887" customFormat="false" ht="15" hidden="false" customHeight="false" outlineLevel="0" collapsed="false">
      <c r="K887" s="236"/>
    </row>
    <row r="888" customFormat="false" ht="15" hidden="false" customHeight="false" outlineLevel="0" collapsed="false">
      <c r="K888" s="236"/>
    </row>
    <row r="889" customFormat="false" ht="15" hidden="false" customHeight="false" outlineLevel="0" collapsed="false">
      <c r="K889" s="236"/>
    </row>
    <row r="890" customFormat="false" ht="15" hidden="false" customHeight="false" outlineLevel="0" collapsed="false">
      <c r="K890" s="236"/>
    </row>
    <row r="891" customFormat="false" ht="15" hidden="false" customHeight="false" outlineLevel="0" collapsed="false">
      <c r="K891" s="236"/>
    </row>
    <row r="892" customFormat="false" ht="15" hidden="false" customHeight="false" outlineLevel="0" collapsed="false">
      <c r="K892" s="236"/>
    </row>
    <row r="893" customFormat="false" ht="15" hidden="false" customHeight="false" outlineLevel="0" collapsed="false">
      <c r="K893" s="236"/>
    </row>
    <row r="894" customFormat="false" ht="15" hidden="false" customHeight="false" outlineLevel="0" collapsed="false">
      <c r="K894" s="236"/>
    </row>
    <row r="895" customFormat="false" ht="15" hidden="false" customHeight="false" outlineLevel="0" collapsed="false">
      <c r="K895" s="236"/>
    </row>
    <row r="896" customFormat="false" ht="15" hidden="false" customHeight="false" outlineLevel="0" collapsed="false">
      <c r="K896" s="236"/>
    </row>
    <row r="897" customFormat="false" ht="15" hidden="false" customHeight="false" outlineLevel="0" collapsed="false">
      <c r="K897" s="236"/>
    </row>
    <row r="898" customFormat="false" ht="15" hidden="false" customHeight="false" outlineLevel="0" collapsed="false">
      <c r="K898" s="236"/>
    </row>
    <row r="899" customFormat="false" ht="15" hidden="false" customHeight="false" outlineLevel="0" collapsed="false">
      <c r="K899" s="236"/>
    </row>
    <row r="900" customFormat="false" ht="15" hidden="false" customHeight="false" outlineLevel="0" collapsed="false">
      <c r="K900" s="236"/>
    </row>
    <row r="901" customFormat="false" ht="15" hidden="false" customHeight="false" outlineLevel="0" collapsed="false">
      <c r="K901" s="236"/>
    </row>
    <row r="902" customFormat="false" ht="15" hidden="false" customHeight="false" outlineLevel="0" collapsed="false">
      <c r="K902" s="236"/>
    </row>
    <row r="903" customFormat="false" ht="15" hidden="false" customHeight="false" outlineLevel="0" collapsed="false">
      <c r="K903" s="236"/>
    </row>
    <row r="904" customFormat="false" ht="15" hidden="false" customHeight="false" outlineLevel="0" collapsed="false">
      <c r="K904" s="236"/>
    </row>
    <row r="905" customFormat="false" ht="15" hidden="false" customHeight="false" outlineLevel="0" collapsed="false">
      <c r="K905" s="236"/>
    </row>
    <row r="906" customFormat="false" ht="15" hidden="false" customHeight="false" outlineLevel="0" collapsed="false">
      <c r="K906" s="236"/>
    </row>
    <row r="907" customFormat="false" ht="15" hidden="false" customHeight="false" outlineLevel="0" collapsed="false">
      <c r="K907" s="236"/>
    </row>
    <row r="908" customFormat="false" ht="15" hidden="false" customHeight="false" outlineLevel="0" collapsed="false">
      <c r="K908" s="236"/>
    </row>
    <row r="909" customFormat="false" ht="15" hidden="false" customHeight="false" outlineLevel="0" collapsed="false">
      <c r="K909" s="236"/>
    </row>
    <row r="910" customFormat="false" ht="15" hidden="false" customHeight="false" outlineLevel="0" collapsed="false">
      <c r="K910" s="236"/>
    </row>
    <row r="911" customFormat="false" ht="15" hidden="false" customHeight="false" outlineLevel="0" collapsed="false">
      <c r="K911" s="236"/>
    </row>
    <row r="912" customFormat="false" ht="15" hidden="false" customHeight="false" outlineLevel="0" collapsed="false">
      <c r="K912" s="236"/>
    </row>
    <row r="913" customFormat="false" ht="15" hidden="false" customHeight="false" outlineLevel="0" collapsed="false">
      <c r="K913" s="236"/>
    </row>
    <row r="914" customFormat="false" ht="15" hidden="false" customHeight="false" outlineLevel="0" collapsed="false">
      <c r="K914" s="236"/>
    </row>
    <row r="915" customFormat="false" ht="15" hidden="false" customHeight="false" outlineLevel="0" collapsed="false">
      <c r="K915" s="236"/>
    </row>
    <row r="916" customFormat="false" ht="15" hidden="false" customHeight="false" outlineLevel="0" collapsed="false">
      <c r="K916" s="236"/>
    </row>
    <row r="917" customFormat="false" ht="15" hidden="false" customHeight="false" outlineLevel="0" collapsed="false">
      <c r="K917" s="236"/>
    </row>
    <row r="918" customFormat="false" ht="15" hidden="false" customHeight="false" outlineLevel="0" collapsed="false">
      <c r="K918" s="236"/>
    </row>
    <row r="919" customFormat="false" ht="15" hidden="false" customHeight="false" outlineLevel="0" collapsed="false">
      <c r="K919" s="236"/>
    </row>
    <row r="920" customFormat="false" ht="15" hidden="false" customHeight="false" outlineLevel="0" collapsed="false">
      <c r="K920" s="236"/>
    </row>
    <row r="921" customFormat="false" ht="15" hidden="false" customHeight="false" outlineLevel="0" collapsed="false">
      <c r="K921" s="236"/>
    </row>
    <row r="922" customFormat="false" ht="15" hidden="false" customHeight="false" outlineLevel="0" collapsed="false">
      <c r="K922" s="236"/>
    </row>
    <row r="923" customFormat="false" ht="15" hidden="false" customHeight="false" outlineLevel="0" collapsed="false">
      <c r="K923" s="236"/>
    </row>
    <row r="924" customFormat="false" ht="15" hidden="false" customHeight="false" outlineLevel="0" collapsed="false">
      <c r="K924" s="236"/>
    </row>
    <row r="925" customFormat="false" ht="15" hidden="false" customHeight="false" outlineLevel="0" collapsed="false">
      <c r="K925" s="236"/>
    </row>
    <row r="926" customFormat="false" ht="15" hidden="false" customHeight="false" outlineLevel="0" collapsed="false">
      <c r="K926" s="236"/>
    </row>
    <row r="927" customFormat="false" ht="15" hidden="false" customHeight="false" outlineLevel="0" collapsed="false">
      <c r="K927" s="236"/>
    </row>
    <row r="928" customFormat="false" ht="15" hidden="false" customHeight="false" outlineLevel="0" collapsed="false">
      <c r="K928" s="236"/>
    </row>
    <row r="929" customFormat="false" ht="15" hidden="false" customHeight="false" outlineLevel="0" collapsed="false">
      <c r="K929" s="236"/>
    </row>
    <row r="930" customFormat="false" ht="15" hidden="false" customHeight="false" outlineLevel="0" collapsed="false">
      <c r="K930" s="236"/>
    </row>
    <row r="931" customFormat="false" ht="15" hidden="false" customHeight="false" outlineLevel="0" collapsed="false">
      <c r="K931" s="236"/>
    </row>
    <row r="932" customFormat="false" ht="15" hidden="false" customHeight="false" outlineLevel="0" collapsed="false">
      <c r="K932" s="236"/>
    </row>
    <row r="933" customFormat="false" ht="15" hidden="false" customHeight="false" outlineLevel="0" collapsed="false">
      <c r="K933" s="236"/>
    </row>
    <row r="934" customFormat="false" ht="15" hidden="false" customHeight="false" outlineLevel="0" collapsed="false">
      <c r="K934" s="236"/>
    </row>
    <row r="935" customFormat="false" ht="15" hidden="false" customHeight="false" outlineLevel="0" collapsed="false">
      <c r="K935" s="236"/>
    </row>
    <row r="936" customFormat="false" ht="15" hidden="false" customHeight="false" outlineLevel="0" collapsed="false">
      <c r="K936" s="236"/>
    </row>
    <row r="937" customFormat="false" ht="15" hidden="false" customHeight="false" outlineLevel="0" collapsed="false">
      <c r="K937" s="236"/>
    </row>
    <row r="938" customFormat="false" ht="15" hidden="false" customHeight="false" outlineLevel="0" collapsed="false">
      <c r="K938" s="236"/>
    </row>
    <row r="939" customFormat="false" ht="15" hidden="false" customHeight="false" outlineLevel="0" collapsed="false">
      <c r="K939" s="236"/>
    </row>
    <row r="940" customFormat="false" ht="15" hidden="false" customHeight="false" outlineLevel="0" collapsed="false">
      <c r="K940" s="236"/>
    </row>
    <row r="941" customFormat="false" ht="15" hidden="false" customHeight="false" outlineLevel="0" collapsed="false">
      <c r="K941" s="236"/>
    </row>
    <row r="942" customFormat="false" ht="15" hidden="false" customHeight="false" outlineLevel="0" collapsed="false">
      <c r="K942" s="236"/>
    </row>
    <row r="943" customFormat="false" ht="15" hidden="false" customHeight="false" outlineLevel="0" collapsed="false">
      <c r="K943" s="236"/>
    </row>
    <row r="944" customFormat="false" ht="15" hidden="false" customHeight="false" outlineLevel="0" collapsed="false">
      <c r="K944" s="236"/>
    </row>
    <row r="945" customFormat="false" ht="15" hidden="false" customHeight="false" outlineLevel="0" collapsed="false">
      <c r="K945" s="236"/>
    </row>
    <row r="946" customFormat="false" ht="15" hidden="false" customHeight="false" outlineLevel="0" collapsed="false">
      <c r="K946" s="236"/>
    </row>
    <row r="947" customFormat="false" ht="15" hidden="false" customHeight="false" outlineLevel="0" collapsed="false">
      <c r="K947" s="236"/>
    </row>
    <row r="948" customFormat="false" ht="15" hidden="false" customHeight="false" outlineLevel="0" collapsed="false">
      <c r="K948" s="236"/>
    </row>
    <row r="949" customFormat="false" ht="15" hidden="false" customHeight="false" outlineLevel="0" collapsed="false">
      <c r="K949" s="236"/>
    </row>
    <row r="950" customFormat="false" ht="15" hidden="false" customHeight="false" outlineLevel="0" collapsed="false">
      <c r="K950" s="236"/>
    </row>
    <row r="951" customFormat="false" ht="15" hidden="false" customHeight="false" outlineLevel="0" collapsed="false">
      <c r="K951" s="236"/>
    </row>
    <row r="952" customFormat="false" ht="15" hidden="false" customHeight="false" outlineLevel="0" collapsed="false">
      <c r="K952" s="236"/>
    </row>
    <row r="953" customFormat="false" ht="15" hidden="false" customHeight="false" outlineLevel="0" collapsed="false">
      <c r="K953" s="236"/>
    </row>
    <row r="954" customFormat="false" ht="15" hidden="false" customHeight="false" outlineLevel="0" collapsed="false">
      <c r="K954" s="236"/>
    </row>
    <row r="955" customFormat="false" ht="15" hidden="false" customHeight="false" outlineLevel="0" collapsed="false">
      <c r="K955" s="236"/>
    </row>
    <row r="956" customFormat="false" ht="15" hidden="false" customHeight="false" outlineLevel="0" collapsed="false">
      <c r="K956" s="236"/>
    </row>
    <row r="957" customFormat="false" ht="15" hidden="false" customHeight="false" outlineLevel="0" collapsed="false">
      <c r="K957" s="236"/>
    </row>
    <row r="958" customFormat="false" ht="15" hidden="false" customHeight="false" outlineLevel="0" collapsed="false">
      <c r="K958" s="236"/>
    </row>
    <row r="959" customFormat="false" ht="15" hidden="false" customHeight="false" outlineLevel="0" collapsed="false">
      <c r="K959" s="236"/>
    </row>
    <row r="960" customFormat="false" ht="15" hidden="false" customHeight="false" outlineLevel="0" collapsed="false">
      <c r="K960" s="236"/>
    </row>
    <row r="961" customFormat="false" ht="15" hidden="false" customHeight="false" outlineLevel="0" collapsed="false">
      <c r="K961" s="236"/>
    </row>
    <row r="962" customFormat="false" ht="15" hidden="false" customHeight="false" outlineLevel="0" collapsed="false">
      <c r="K962" s="236"/>
    </row>
    <row r="963" customFormat="false" ht="15" hidden="false" customHeight="false" outlineLevel="0" collapsed="false">
      <c r="K963" s="236"/>
    </row>
    <row r="964" customFormat="false" ht="15" hidden="false" customHeight="false" outlineLevel="0" collapsed="false">
      <c r="K964" s="236"/>
    </row>
    <row r="965" customFormat="false" ht="15" hidden="false" customHeight="false" outlineLevel="0" collapsed="false">
      <c r="K965" s="236"/>
    </row>
    <row r="966" customFormat="false" ht="15" hidden="false" customHeight="false" outlineLevel="0" collapsed="false">
      <c r="K966" s="236"/>
    </row>
    <row r="967" customFormat="false" ht="15" hidden="false" customHeight="false" outlineLevel="0" collapsed="false">
      <c r="K967" s="236"/>
    </row>
    <row r="968" customFormat="false" ht="15" hidden="false" customHeight="false" outlineLevel="0" collapsed="false">
      <c r="K968" s="236"/>
    </row>
    <row r="969" customFormat="false" ht="15" hidden="false" customHeight="false" outlineLevel="0" collapsed="false">
      <c r="K969" s="236"/>
    </row>
    <row r="970" customFormat="false" ht="15" hidden="false" customHeight="false" outlineLevel="0" collapsed="false">
      <c r="K970" s="236"/>
    </row>
    <row r="971" customFormat="false" ht="15" hidden="false" customHeight="false" outlineLevel="0" collapsed="false">
      <c r="K971" s="236"/>
    </row>
    <row r="972" customFormat="false" ht="15" hidden="false" customHeight="false" outlineLevel="0" collapsed="false">
      <c r="K972" s="236"/>
    </row>
    <row r="973" customFormat="false" ht="15" hidden="false" customHeight="false" outlineLevel="0" collapsed="false">
      <c r="K973" s="236"/>
    </row>
    <row r="974" customFormat="false" ht="15" hidden="false" customHeight="false" outlineLevel="0" collapsed="false">
      <c r="K974" s="236"/>
    </row>
    <row r="975" customFormat="false" ht="15" hidden="false" customHeight="false" outlineLevel="0" collapsed="false">
      <c r="K975" s="236"/>
    </row>
    <row r="976" customFormat="false" ht="15" hidden="false" customHeight="false" outlineLevel="0" collapsed="false">
      <c r="K976" s="236"/>
    </row>
    <row r="977" customFormat="false" ht="15" hidden="false" customHeight="false" outlineLevel="0" collapsed="false">
      <c r="K977" s="236"/>
    </row>
    <row r="978" customFormat="false" ht="15" hidden="false" customHeight="false" outlineLevel="0" collapsed="false">
      <c r="K978" s="236"/>
    </row>
    <row r="979" customFormat="false" ht="15" hidden="false" customHeight="false" outlineLevel="0" collapsed="false">
      <c r="K979" s="236"/>
    </row>
    <row r="980" customFormat="false" ht="15" hidden="false" customHeight="false" outlineLevel="0" collapsed="false">
      <c r="K980" s="236"/>
    </row>
    <row r="981" customFormat="false" ht="15" hidden="false" customHeight="false" outlineLevel="0" collapsed="false">
      <c r="K981" s="236"/>
    </row>
    <row r="982" customFormat="false" ht="15" hidden="false" customHeight="false" outlineLevel="0" collapsed="false">
      <c r="K982" s="236"/>
    </row>
    <row r="983" customFormat="false" ht="15" hidden="false" customHeight="false" outlineLevel="0" collapsed="false">
      <c r="K983" s="236"/>
    </row>
    <row r="984" customFormat="false" ht="15" hidden="false" customHeight="false" outlineLevel="0" collapsed="false">
      <c r="K984" s="236"/>
    </row>
    <row r="985" customFormat="false" ht="15" hidden="false" customHeight="false" outlineLevel="0" collapsed="false">
      <c r="K985" s="236"/>
    </row>
    <row r="986" customFormat="false" ht="15" hidden="false" customHeight="false" outlineLevel="0" collapsed="false">
      <c r="K986" s="236"/>
    </row>
    <row r="987" customFormat="false" ht="15" hidden="false" customHeight="false" outlineLevel="0" collapsed="false">
      <c r="K987" s="236"/>
    </row>
    <row r="988" customFormat="false" ht="15" hidden="false" customHeight="false" outlineLevel="0" collapsed="false">
      <c r="K988" s="236"/>
    </row>
    <row r="989" customFormat="false" ht="15" hidden="false" customHeight="false" outlineLevel="0" collapsed="false">
      <c r="K989" s="236"/>
    </row>
    <row r="990" customFormat="false" ht="15" hidden="false" customHeight="false" outlineLevel="0" collapsed="false">
      <c r="K990" s="236"/>
    </row>
    <row r="991" customFormat="false" ht="15" hidden="false" customHeight="false" outlineLevel="0" collapsed="false">
      <c r="K991" s="236"/>
    </row>
    <row r="992" customFormat="false" ht="15" hidden="false" customHeight="false" outlineLevel="0" collapsed="false">
      <c r="K992" s="236"/>
    </row>
    <row r="993" customFormat="false" ht="15" hidden="false" customHeight="false" outlineLevel="0" collapsed="false">
      <c r="K993" s="236"/>
    </row>
    <row r="994" customFormat="false" ht="15" hidden="false" customHeight="false" outlineLevel="0" collapsed="false">
      <c r="K994" s="236"/>
    </row>
    <row r="995" customFormat="false" ht="15" hidden="false" customHeight="false" outlineLevel="0" collapsed="false">
      <c r="K995" s="236"/>
    </row>
    <row r="996" customFormat="false" ht="15" hidden="false" customHeight="false" outlineLevel="0" collapsed="false">
      <c r="K996" s="236"/>
    </row>
    <row r="997" customFormat="false" ht="15" hidden="false" customHeight="false" outlineLevel="0" collapsed="false">
      <c r="K997" s="236"/>
    </row>
    <row r="998" customFormat="false" ht="15" hidden="false" customHeight="false" outlineLevel="0" collapsed="false">
      <c r="K998" s="236"/>
    </row>
    <row r="999" customFormat="false" ht="15" hidden="false" customHeight="false" outlineLevel="0" collapsed="false">
      <c r="K999" s="236"/>
    </row>
    <row r="1000" customFormat="false" ht="15" hidden="false" customHeight="false" outlineLevel="0" collapsed="false">
      <c r="K1000" s="236"/>
    </row>
    <row r="1001" customFormat="false" ht="15" hidden="false" customHeight="false" outlineLevel="0" collapsed="false">
      <c r="K1001" s="236"/>
    </row>
    <row r="1002" customFormat="false" ht="15" hidden="false" customHeight="false" outlineLevel="0" collapsed="false">
      <c r="K1002" s="236"/>
    </row>
    <row r="1003" customFormat="false" ht="15" hidden="false" customHeight="false" outlineLevel="0" collapsed="false">
      <c r="K1003" s="236"/>
    </row>
    <row r="1004" customFormat="false" ht="15" hidden="false" customHeight="false" outlineLevel="0" collapsed="false">
      <c r="K1004" s="236"/>
    </row>
    <row r="1005" customFormat="false" ht="15" hidden="false" customHeight="false" outlineLevel="0" collapsed="false">
      <c r="K1005" s="236"/>
    </row>
    <row r="1006" customFormat="false" ht="15" hidden="false" customHeight="false" outlineLevel="0" collapsed="false">
      <c r="K1006" s="236"/>
    </row>
    <row r="1007" customFormat="false" ht="15" hidden="false" customHeight="false" outlineLevel="0" collapsed="false">
      <c r="K1007" s="236"/>
    </row>
    <row r="1008" customFormat="false" ht="15" hidden="false" customHeight="false" outlineLevel="0" collapsed="false">
      <c r="K1008" s="236"/>
    </row>
    <row r="1009" customFormat="false" ht="15" hidden="false" customHeight="false" outlineLevel="0" collapsed="false">
      <c r="K1009" s="236"/>
    </row>
    <row r="1010" customFormat="false" ht="15" hidden="false" customHeight="false" outlineLevel="0" collapsed="false">
      <c r="K1010" s="236"/>
    </row>
    <row r="1011" customFormat="false" ht="15" hidden="false" customHeight="false" outlineLevel="0" collapsed="false">
      <c r="K1011" s="236"/>
    </row>
    <row r="1012" customFormat="false" ht="15" hidden="false" customHeight="false" outlineLevel="0" collapsed="false">
      <c r="K1012" s="236"/>
    </row>
    <row r="1013" customFormat="false" ht="15" hidden="false" customHeight="false" outlineLevel="0" collapsed="false">
      <c r="K1013" s="236"/>
    </row>
    <row r="1014" customFormat="false" ht="15" hidden="false" customHeight="false" outlineLevel="0" collapsed="false">
      <c r="K1014" s="236"/>
    </row>
    <row r="1015" customFormat="false" ht="15" hidden="false" customHeight="false" outlineLevel="0" collapsed="false">
      <c r="K1015" s="236"/>
    </row>
    <row r="1016" customFormat="false" ht="15" hidden="false" customHeight="false" outlineLevel="0" collapsed="false">
      <c r="K1016" s="236"/>
    </row>
    <row r="1017" customFormat="false" ht="15" hidden="false" customHeight="false" outlineLevel="0" collapsed="false">
      <c r="K1017" s="236"/>
    </row>
    <row r="1018" customFormat="false" ht="15" hidden="false" customHeight="false" outlineLevel="0" collapsed="false">
      <c r="K1018" s="236"/>
    </row>
    <row r="1019" customFormat="false" ht="15" hidden="false" customHeight="false" outlineLevel="0" collapsed="false">
      <c r="K1019" s="236"/>
    </row>
    <row r="1020" customFormat="false" ht="15" hidden="false" customHeight="false" outlineLevel="0" collapsed="false">
      <c r="K1020" s="236"/>
    </row>
    <row r="1021" customFormat="false" ht="15" hidden="false" customHeight="false" outlineLevel="0" collapsed="false">
      <c r="K1021" s="236"/>
    </row>
    <row r="1022" customFormat="false" ht="15" hidden="false" customHeight="false" outlineLevel="0" collapsed="false">
      <c r="K1022" s="236"/>
    </row>
    <row r="1023" customFormat="false" ht="15" hidden="false" customHeight="false" outlineLevel="0" collapsed="false">
      <c r="K1023" s="236"/>
    </row>
    <row r="1024" customFormat="false" ht="15" hidden="false" customHeight="false" outlineLevel="0" collapsed="false">
      <c r="K1024" s="236"/>
    </row>
    <row r="1025" customFormat="false" ht="15" hidden="false" customHeight="false" outlineLevel="0" collapsed="false">
      <c r="K1025" s="236"/>
    </row>
    <row r="1026" customFormat="false" ht="15" hidden="false" customHeight="false" outlineLevel="0" collapsed="false">
      <c r="K1026" s="236"/>
    </row>
    <row r="1027" customFormat="false" ht="15" hidden="false" customHeight="false" outlineLevel="0" collapsed="false">
      <c r="K1027" s="236"/>
    </row>
    <row r="1028" customFormat="false" ht="15" hidden="false" customHeight="false" outlineLevel="0" collapsed="false">
      <c r="K1028" s="236"/>
    </row>
    <row r="1029" customFormat="false" ht="15" hidden="false" customHeight="false" outlineLevel="0" collapsed="false">
      <c r="K1029" s="236"/>
    </row>
    <row r="1030" customFormat="false" ht="15" hidden="false" customHeight="false" outlineLevel="0" collapsed="false">
      <c r="K1030" s="236"/>
    </row>
    <row r="1031" customFormat="false" ht="15" hidden="false" customHeight="false" outlineLevel="0" collapsed="false">
      <c r="K1031" s="236"/>
    </row>
    <row r="1032" customFormat="false" ht="15" hidden="false" customHeight="false" outlineLevel="0" collapsed="false">
      <c r="K1032" s="236"/>
    </row>
    <row r="1033" customFormat="false" ht="15" hidden="false" customHeight="false" outlineLevel="0" collapsed="false">
      <c r="K1033" s="236"/>
    </row>
    <row r="1034" customFormat="false" ht="15" hidden="false" customHeight="false" outlineLevel="0" collapsed="false">
      <c r="K1034" s="236"/>
    </row>
    <row r="1035" customFormat="false" ht="15" hidden="false" customHeight="false" outlineLevel="0" collapsed="false">
      <c r="K1035" s="236"/>
    </row>
    <row r="1036" customFormat="false" ht="15" hidden="false" customHeight="false" outlineLevel="0" collapsed="false">
      <c r="K1036" s="236"/>
    </row>
    <row r="1037" customFormat="false" ht="15" hidden="false" customHeight="false" outlineLevel="0" collapsed="false">
      <c r="K1037" s="236"/>
    </row>
    <row r="1038" customFormat="false" ht="15" hidden="false" customHeight="false" outlineLevel="0" collapsed="false">
      <c r="K1038" s="236"/>
    </row>
    <row r="1039" customFormat="false" ht="15" hidden="false" customHeight="false" outlineLevel="0" collapsed="false">
      <c r="K1039" s="236"/>
    </row>
    <row r="1040" customFormat="false" ht="15" hidden="false" customHeight="false" outlineLevel="0" collapsed="false">
      <c r="K1040" s="236"/>
    </row>
    <row r="1041" customFormat="false" ht="15" hidden="false" customHeight="false" outlineLevel="0" collapsed="false">
      <c r="K1041" s="236"/>
    </row>
    <row r="1042" customFormat="false" ht="15" hidden="false" customHeight="false" outlineLevel="0" collapsed="false">
      <c r="K1042" s="236"/>
    </row>
    <row r="1043" customFormat="false" ht="15" hidden="false" customHeight="false" outlineLevel="0" collapsed="false">
      <c r="K1043" s="236"/>
    </row>
    <row r="1044" customFormat="false" ht="15" hidden="false" customHeight="false" outlineLevel="0" collapsed="false">
      <c r="K1044" s="236"/>
    </row>
    <row r="1045" customFormat="false" ht="15" hidden="false" customHeight="false" outlineLevel="0" collapsed="false">
      <c r="K1045" s="236"/>
    </row>
    <row r="1046" customFormat="false" ht="15" hidden="false" customHeight="false" outlineLevel="0" collapsed="false">
      <c r="K1046" s="236"/>
    </row>
    <row r="1047" customFormat="false" ht="15" hidden="false" customHeight="false" outlineLevel="0" collapsed="false">
      <c r="K1047" s="236"/>
    </row>
    <row r="1048" customFormat="false" ht="15" hidden="false" customHeight="false" outlineLevel="0" collapsed="false">
      <c r="K1048" s="236"/>
    </row>
    <row r="1049" customFormat="false" ht="15" hidden="false" customHeight="false" outlineLevel="0" collapsed="false">
      <c r="K1049" s="236"/>
    </row>
    <row r="1050" customFormat="false" ht="15" hidden="false" customHeight="false" outlineLevel="0" collapsed="false">
      <c r="K1050" s="236"/>
    </row>
    <row r="1051" customFormat="false" ht="15" hidden="false" customHeight="false" outlineLevel="0" collapsed="false">
      <c r="K1051" s="236"/>
    </row>
    <row r="1052" customFormat="false" ht="15" hidden="false" customHeight="false" outlineLevel="0" collapsed="false">
      <c r="K1052" s="236"/>
    </row>
    <row r="1053" customFormat="false" ht="15" hidden="false" customHeight="false" outlineLevel="0" collapsed="false">
      <c r="K1053" s="236"/>
    </row>
    <row r="1054" customFormat="false" ht="15" hidden="false" customHeight="false" outlineLevel="0" collapsed="false">
      <c r="K1054" s="236"/>
    </row>
    <row r="1055" customFormat="false" ht="15" hidden="false" customHeight="false" outlineLevel="0" collapsed="false">
      <c r="K1055" s="236"/>
    </row>
    <row r="1056" customFormat="false" ht="15" hidden="false" customHeight="false" outlineLevel="0" collapsed="false">
      <c r="K1056" s="236"/>
    </row>
    <row r="1057" customFormat="false" ht="15" hidden="false" customHeight="false" outlineLevel="0" collapsed="false">
      <c r="K1057" s="236"/>
    </row>
    <row r="1058" customFormat="false" ht="15" hidden="false" customHeight="false" outlineLevel="0" collapsed="false">
      <c r="K1058" s="236"/>
    </row>
    <row r="1059" customFormat="false" ht="15" hidden="false" customHeight="false" outlineLevel="0" collapsed="false">
      <c r="K1059" s="236"/>
    </row>
    <row r="1060" customFormat="false" ht="15" hidden="false" customHeight="false" outlineLevel="0" collapsed="false">
      <c r="K1060" s="236"/>
    </row>
    <row r="1061" customFormat="false" ht="15" hidden="false" customHeight="false" outlineLevel="0" collapsed="false">
      <c r="K1061" s="236"/>
    </row>
    <row r="1062" customFormat="false" ht="15" hidden="false" customHeight="false" outlineLevel="0" collapsed="false">
      <c r="K1062" s="236"/>
    </row>
    <row r="1063" customFormat="false" ht="15" hidden="false" customHeight="false" outlineLevel="0" collapsed="false">
      <c r="K1063" s="236"/>
    </row>
    <row r="1064" customFormat="false" ht="15" hidden="false" customHeight="false" outlineLevel="0" collapsed="false">
      <c r="K1064" s="236"/>
    </row>
    <row r="1065" customFormat="false" ht="15" hidden="false" customHeight="false" outlineLevel="0" collapsed="false">
      <c r="K1065" s="236"/>
    </row>
    <row r="1066" customFormat="false" ht="15" hidden="false" customHeight="false" outlineLevel="0" collapsed="false">
      <c r="K1066" s="236"/>
    </row>
    <row r="1067" customFormat="false" ht="15" hidden="false" customHeight="false" outlineLevel="0" collapsed="false">
      <c r="K1067" s="236"/>
    </row>
    <row r="1068" customFormat="false" ht="15" hidden="false" customHeight="false" outlineLevel="0" collapsed="false">
      <c r="K1068" s="236"/>
    </row>
    <row r="1069" customFormat="false" ht="15" hidden="false" customHeight="false" outlineLevel="0" collapsed="false">
      <c r="K1069" s="236"/>
    </row>
    <row r="1070" customFormat="false" ht="15" hidden="false" customHeight="false" outlineLevel="0" collapsed="false">
      <c r="K1070" s="236"/>
    </row>
    <row r="1071" customFormat="false" ht="15" hidden="false" customHeight="false" outlineLevel="0" collapsed="false">
      <c r="K1071" s="236"/>
    </row>
    <row r="1072" customFormat="false" ht="15" hidden="false" customHeight="false" outlineLevel="0" collapsed="false">
      <c r="K1072" s="236"/>
    </row>
    <row r="1073" customFormat="false" ht="15" hidden="false" customHeight="false" outlineLevel="0" collapsed="false">
      <c r="K1073" s="236"/>
    </row>
  </sheetData>
  <mergeCells count="602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8"/>
    <mergeCell ref="B87:B88"/>
    <mergeCell ref="C87:C88"/>
    <mergeCell ref="D87:D88"/>
    <mergeCell ref="E87:E88"/>
    <mergeCell ref="A89:A90"/>
    <mergeCell ref="B89:B90"/>
    <mergeCell ref="C89:C90"/>
    <mergeCell ref="D89:D90"/>
    <mergeCell ref="E89:E90"/>
    <mergeCell ref="A91:A92"/>
    <mergeCell ref="B91:B92"/>
    <mergeCell ref="C91:C92"/>
    <mergeCell ref="D91:D92"/>
    <mergeCell ref="E91:E92"/>
    <mergeCell ref="A93:A94"/>
    <mergeCell ref="B93:B94"/>
    <mergeCell ref="C93:C94"/>
    <mergeCell ref="D93:D94"/>
    <mergeCell ref="E93:E94"/>
    <mergeCell ref="A95:A96"/>
    <mergeCell ref="B95:B96"/>
    <mergeCell ref="C95:C96"/>
    <mergeCell ref="D95:D96"/>
    <mergeCell ref="E95:E96"/>
    <mergeCell ref="A97:A98"/>
    <mergeCell ref="B97:B98"/>
    <mergeCell ref="C97:C98"/>
    <mergeCell ref="D97:D98"/>
    <mergeCell ref="E97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7"/>
    <mergeCell ref="B105:B107"/>
    <mergeCell ref="C105:C107"/>
    <mergeCell ref="D105:D107"/>
    <mergeCell ref="E105:E107"/>
    <mergeCell ref="A108:A109"/>
    <mergeCell ref="B108:B109"/>
    <mergeCell ref="C108:C109"/>
    <mergeCell ref="D108:D109"/>
    <mergeCell ref="E108:E109"/>
    <mergeCell ref="A110:A111"/>
    <mergeCell ref="B110:B111"/>
    <mergeCell ref="C110:C111"/>
    <mergeCell ref="D110:D111"/>
    <mergeCell ref="E110:E111"/>
    <mergeCell ref="A112:A113"/>
    <mergeCell ref="B112:B113"/>
    <mergeCell ref="C112:C113"/>
    <mergeCell ref="D112:D113"/>
    <mergeCell ref="E112:E113"/>
    <mergeCell ref="A114:A115"/>
    <mergeCell ref="B114:B115"/>
    <mergeCell ref="C114:C115"/>
    <mergeCell ref="D114:D115"/>
    <mergeCell ref="E114:E115"/>
    <mergeCell ref="A116:A117"/>
    <mergeCell ref="B116:B117"/>
    <mergeCell ref="C116:C117"/>
    <mergeCell ref="D116:D117"/>
    <mergeCell ref="E116:E117"/>
    <mergeCell ref="A118:A119"/>
    <mergeCell ref="B118:B119"/>
    <mergeCell ref="C118:C119"/>
    <mergeCell ref="D118:D119"/>
    <mergeCell ref="E118:E119"/>
    <mergeCell ref="A120:A121"/>
    <mergeCell ref="B120:B121"/>
    <mergeCell ref="C120:C121"/>
    <mergeCell ref="D120:D121"/>
    <mergeCell ref="E120:E121"/>
    <mergeCell ref="A122:A123"/>
    <mergeCell ref="B122:B123"/>
    <mergeCell ref="C122:C123"/>
    <mergeCell ref="D122:D123"/>
    <mergeCell ref="E122:E123"/>
    <mergeCell ref="A124:A125"/>
    <mergeCell ref="B124:B125"/>
    <mergeCell ref="C124:C125"/>
    <mergeCell ref="D124:D125"/>
    <mergeCell ref="E124:E125"/>
    <mergeCell ref="A126:A128"/>
    <mergeCell ref="B126:B128"/>
    <mergeCell ref="C126:C128"/>
    <mergeCell ref="D126:D128"/>
    <mergeCell ref="E126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9"/>
    <mergeCell ref="B137:B139"/>
    <mergeCell ref="C137:C139"/>
    <mergeCell ref="D137:D139"/>
    <mergeCell ref="E137:E139"/>
    <mergeCell ref="A140:A141"/>
    <mergeCell ref="B140:B141"/>
    <mergeCell ref="C140:C141"/>
    <mergeCell ref="D140:D141"/>
    <mergeCell ref="E140:E141"/>
    <mergeCell ref="A142:A144"/>
    <mergeCell ref="B142:B144"/>
    <mergeCell ref="C142:C144"/>
    <mergeCell ref="D142:D144"/>
    <mergeCell ref="E142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2"/>
    <mergeCell ref="B151:B152"/>
    <mergeCell ref="C151:C152"/>
    <mergeCell ref="D151:D152"/>
    <mergeCell ref="E151:E152"/>
    <mergeCell ref="A153:A154"/>
    <mergeCell ref="B153:B154"/>
    <mergeCell ref="C153:C154"/>
    <mergeCell ref="D153:D154"/>
    <mergeCell ref="E153:E154"/>
    <mergeCell ref="A155:A156"/>
    <mergeCell ref="B155:B156"/>
    <mergeCell ref="C155:C156"/>
    <mergeCell ref="D155:D156"/>
    <mergeCell ref="E155:E156"/>
    <mergeCell ref="A157:A158"/>
    <mergeCell ref="B157:B158"/>
    <mergeCell ref="C157:C158"/>
    <mergeCell ref="D157:D158"/>
    <mergeCell ref="E157:E158"/>
    <mergeCell ref="A159:A160"/>
    <mergeCell ref="B159:B160"/>
    <mergeCell ref="C159:C160"/>
    <mergeCell ref="D159:D160"/>
    <mergeCell ref="E159:E160"/>
    <mergeCell ref="A161:A162"/>
    <mergeCell ref="B161:B162"/>
    <mergeCell ref="C161:C162"/>
    <mergeCell ref="D161:D162"/>
    <mergeCell ref="E161:E162"/>
    <mergeCell ref="A163:A164"/>
    <mergeCell ref="B163:B164"/>
    <mergeCell ref="C163:C164"/>
    <mergeCell ref="D163:D164"/>
    <mergeCell ref="E163:E164"/>
    <mergeCell ref="A165:A166"/>
    <mergeCell ref="B165:B166"/>
    <mergeCell ref="C165:C166"/>
    <mergeCell ref="D165:D166"/>
    <mergeCell ref="E165:E166"/>
    <mergeCell ref="A167:A168"/>
    <mergeCell ref="B167:B168"/>
    <mergeCell ref="C167:C168"/>
    <mergeCell ref="D167:D168"/>
    <mergeCell ref="E167:E168"/>
    <mergeCell ref="A169:A170"/>
    <mergeCell ref="B169:B170"/>
    <mergeCell ref="C169:C170"/>
    <mergeCell ref="D169:D170"/>
    <mergeCell ref="E169:E170"/>
    <mergeCell ref="A171:A172"/>
    <mergeCell ref="B171:B172"/>
    <mergeCell ref="C171:C172"/>
    <mergeCell ref="D171:D172"/>
    <mergeCell ref="E171:E172"/>
    <mergeCell ref="A173:A174"/>
    <mergeCell ref="B173:B174"/>
    <mergeCell ref="C173:C174"/>
    <mergeCell ref="D173:D174"/>
    <mergeCell ref="E173:E174"/>
    <mergeCell ref="A175:A176"/>
    <mergeCell ref="B175:B176"/>
    <mergeCell ref="C175:C176"/>
    <mergeCell ref="D175:D176"/>
    <mergeCell ref="E175:E176"/>
    <mergeCell ref="A177:A178"/>
    <mergeCell ref="B177:B178"/>
    <mergeCell ref="C177:C178"/>
    <mergeCell ref="D177:D178"/>
    <mergeCell ref="E177:E178"/>
    <mergeCell ref="A179:A181"/>
    <mergeCell ref="B179:B181"/>
    <mergeCell ref="C179:C181"/>
    <mergeCell ref="D179:D181"/>
    <mergeCell ref="E179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B188:B189"/>
    <mergeCell ref="D188:D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A212:A213"/>
    <mergeCell ref="B212:B213"/>
    <mergeCell ref="C212:C213"/>
    <mergeCell ref="D212:D213"/>
    <mergeCell ref="E212:E213"/>
    <mergeCell ref="A214:A215"/>
    <mergeCell ref="B214:B215"/>
    <mergeCell ref="C214:C215"/>
    <mergeCell ref="D214:D215"/>
    <mergeCell ref="E214:E215"/>
    <mergeCell ref="A216:A217"/>
    <mergeCell ref="B216:B217"/>
    <mergeCell ref="C216:C217"/>
    <mergeCell ref="D216:D217"/>
    <mergeCell ref="E216:E217"/>
    <mergeCell ref="A218:A219"/>
    <mergeCell ref="B218:B219"/>
    <mergeCell ref="C218:C219"/>
    <mergeCell ref="D218:D219"/>
    <mergeCell ref="E218:E219"/>
    <mergeCell ref="A220:A221"/>
    <mergeCell ref="B220:B221"/>
    <mergeCell ref="C220:C221"/>
    <mergeCell ref="D220:D221"/>
    <mergeCell ref="E220:E221"/>
    <mergeCell ref="A222:A223"/>
    <mergeCell ref="B222:B223"/>
    <mergeCell ref="C222:C223"/>
    <mergeCell ref="D222:D223"/>
    <mergeCell ref="E222:E223"/>
    <mergeCell ref="A224:A225"/>
    <mergeCell ref="B224:B225"/>
    <mergeCell ref="C224:C225"/>
    <mergeCell ref="D224:D225"/>
    <mergeCell ref="E224:E225"/>
    <mergeCell ref="A226:A227"/>
    <mergeCell ref="B226:B227"/>
    <mergeCell ref="C226:C227"/>
    <mergeCell ref="D226:D227"/>
    <mergeCell ref="E226:E227"/>
    <mergeCell ref="A228:A229"/>
    <mergeCell ref="B228:B229"/>
    <mergeCell ref="C228:C229"/>
    <mergeCell ref="D228:D229"/>
    <mergeCell ref="E228:E229"/>
    <mergeCell ref="A230:A231"/>
    <mergeCell ref="B230:B231"/>
    <mergeCell ref="C230:C231"/>
    <mergeCell ref="D230:D231"/>
    <mergeCell ref="E230:E231"/>
    <mergeCell ref="A232:A233"/>
    <mergeCell ref="B232:B233"/>
    <mergeCell ref="C232:C233"/>
    <mergeCell ref="D232:D233"/>
    <mergeCell ref="E232:E233"/>
    <mergeCell ref="A234:A235"/>
    <mergeCell ref="B234:B235"/>
    <mergeCell ref="C234:C235"/>
    <mergeCell ref="D234:D235"/>
    <mergeCell ref="E234:E235"/>
    <mergeCell ref="A236:A237"/>
    <mergeCell ref="B236:B237"/>
    <mergeCell ref="C236:C237"/>
    <mergeCell ref="D236:D237"/>
    <mergeCell ref="E236:E237"/>
    <mergeCell ref="A238:A239"/>
    <mergeCell ref="B238:B239"/>
    <mergeCell ref="C238:C239"/>
    <mergeCell ref="D238:D239"/>
    <mergeCell ref="E238:E239"/>
    <mergeCell ref="A240:A241"/>
    <mergeCell ref="B240:B241"/>
    <mergeCell ref="C240:C241"/>
    <mergeCell ref="D240:D241"/>
    <mergeCell ref="E240:E241"/>
    <mergeCell ref="A242:A243"/>
    <mergeCell ref="B242:B243"/>
    <mergeCell ref="C242:C243"/>
    <mergeCell ref="D242:D243"/>
    <mergeCell ref="E242:E243"/>
    <mergeCell ref="A244:A245"/>
    <mergeCell ref="B244:B245"/>
    <mergeCell ref="C244:C245"/>
    <mergeCell ref="D244:D245"/>
    <mergeCell ref="E244:E245"/>
    <mergeCell ref="A246:A247"/>
    <mergeCell ref="B246:B247"/>
    <mergeCell ref="C246:C247"/>
    <mergeCell ref="D246:D247"/>
    <mergeCell ref="E246:E247"/>
    <mergeCell ref="A248:A249"/>
    <mergeCell ref="B248:B249"/>
    <mergeCell ref="C248:C249"/>
    <mergeCell ref="D248:D249"/>
    <mergeCell ref="E248:E249"/>
    <mergeCell ref="A250:A251"/>
    <mergeCell ref="B250:B251"/>
    <mergeCell ref="C250:C251"/>
    <mergeCell ref="D250:D251"/>
    <mergeCell ref="E250:E251"/>
    <mergeCell ref="F256:F257"/>
    <mergeCell ref="G256:M256"/>
    <mergeCell ref="N256:R256"/>
    <mergeCell ref="S256:S257"/>
    <mergeCell ref="T256:T257"/>
  </mergeCells>
  <printOptions headings="false" gridLines="true" gridLinesSet="true" horizontalCentered="true" verticalCentered="false"/>
  <pageMargins left="0.25" right="0.25" top="0.75" bottom="0.75" header="0.511805555555555" footer="0.511805555555555"/>
  <pageSetup paperSize="9" scale="100" firstPageNumber="0" fitToWidth="1" fitToHeight="0" pageOrder="overThenDown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3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112" t="n">
        <v>1</v>
      </c>
      <c r="I9" s="23"/>
      <c r="J9" s="23"/>
      <c r="K9" s="24" t="n">
        <f aca="false">L9+M9</f>
        <v>0</v>
      </c>
      <c r="L9" s="24"/>
      <c r="M9" s="24"/>
      <c r="N9" s="23" t="n">
        <v>4</v>
      </c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118" t="n">
        <v>1</v>
      </c>
      <c r="I10" s="28"/>
      <c r="J10" s="28"/>
      <c r="K10" s="29" t="n">
        <f aca="false">L10+M10</f>
        <v>0</v>
      </c>
      <c r="L10" s="29"/>
      <c r="M10" s="30"/>
      <c r="N10" s="28" t="n">
        <v>1</v>
      </c>
      <c r="O10" s="29" t="n">
        <f aca="false">P10+Q10</f>
        <v>0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114" t="n">
        <v>7</v>
      </c>
      <c r="I11" s="39" t="n">
        <v>4</v>
      </c>
      <c r="J11" s="39" t="n">
        <v>4</v>
      </c>
      <c r="K11" s="40" t="n">
        <f aca="false">L11+M11</f>
        <v>0</v>
      </c>
      <c r="L11" s="40"/>
      <c r="M11" s="40"/>
      <c r="N11" s="39" t="n">
        <v>3</v>
      </c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115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114" t="n">
        <v>8</v>
      </c>
      <c r="I13" s="23" t="n">
        <v>6</v>
      </c>
      <c r="J13" s="23" t="n">
        <v>7</v>
      </c>
      <c r="K13" s="24" t="n">
        <f aca="false">L13+M13</f>
        <v>0</v>
      </c>
      <c r="L13" s="24"/>
      <c r="M13" s="24"/>
      <c r="N13" s="23" t="n">
        <v>2</v>
      </c>
      <c r="O13" s="24" t="n">
        <f aca="false">P13+Q13</f>
        <v>0</v>
      </c>
      <c r="P13" s="24"/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/>
      <c r="G14" s="27" t="s">
        <v>26</v>
      </c>
      <c r="H14" s="115"/>
      <c r="I14" s="28"/>
      <c r="J14" s="28"/>
      <c r="K14" s="29" t="n">
        <f aca="false">L14+M14</f>
        <v>0</v>
      </c>
      <c r="L14" s="29"/>
      <c r="M14" s="30"/>
      <c r="N14" s="28" t="n">
        <v>2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/>
      <c r="E15" s="35" t="s">
        <v>25</v>
      </c>
      <c r="F15" s="36"/>
      <c r="G15" s="21" t="s">
        <v>22</v>
      </c>
      <c r="H15" s="116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/>
      <c r="G16" s="52" t="s">
        <v>26</v>
      </c>
      <c r="H16" s="117" t="n">
        <v>2</v>
      </c>
      <c r="I16" s="45"/>
      <c r="J16" s="45"/>
      <c r="K16" s="46" t="n">
        <f aca="false">L16+M16</f>
        <v>0</v>
      </c>
      <c r="L16" s="46"/>
      <c r="M16" s="47"/>
      <c r="N16" s="45" t="n">
        <v>2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114" t="n">
        <v>4</v>
      </c>
      <c r="I17" s="23" t="n">
        <v>1</v>
      </c>
      <c r="J17" s="23" t="n">
        <v>1</v>
      </c>
      <c r="K17" s="24" t="n">
        <f aca="false">L17+M17</f>
        <v>0</v>
      </c>
      <c r="L17" s="24"/>
      <c r="M17" s="24"/>
      <c r="N17" s="23" t="n">
        <v>10</v>
      </c>
      <c r="O17" s="24" t="n">
        <f aca="false">P17+Q17</f>
        <v>0</v>
      </c>
      <c r="P17" s="24"/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117" t="n">
        <v>2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114" t="n">
        <v>12</v>
      </c>
      <c r="I19" s="39" t="n">
        <v>7</v>
      </c>
      <c r="J19" s="39" t="n">
        <v>8</v>
      </c>
      <c r="K19" s="40" t="n">
        <f aca="false">L19+M19</f>
        <v>0</v>
      </c>
      <c r="L19" s="40"/>
      <c r="M19" s="40"/>
      <c r="N19" s="39" t="n">
        <v>8</v>
      </c>
      <c r="O19" s="40" t="n">
        <f aca="false">P19+Q19</f>
        <v>0</v>
      </c>
      <c r="P19" s="40"/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57"/>
      <c r="G20" s="27" t="s">
        <v>23</v>
      </c>
      <c r="H20" s="117" t="n">
        <v>2</v>
      </c>
      <c r="I20" s="58"/>
      <c r="J20" s="58"/>
      <c r="K20" s="59" t="n">
        <f aca="false">L20+M20</f>
        <v>0</v>
      </c>
      <c r="L20" s="59"/>
      <c r="M20" s="59"/>
      <c r="N20" s="58"/>
      <c r="O20" s="59" t="n">
        <f aca="false">P20+Q20</f>
        <v>0</v>
      </c>
      <c r="P20" s="59"/>
      <c r="Q20" s="60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33"/>
      <c r="B21" s="34" t="s">
        <v>36</v>
      </c>
      <c r="C21" s="35" t="s">
        <v>20</v>
      </c>
      <c r="D21" s="35"/>
      <c r="E21" s="35" t="s">
        <v>25</v>
      </c>
      <c r="F21" s="36"/>
      <c r="G21" s="21" t="s">
        <v>22</v>
      </c>
      <c r="H21" s="114" t="n">
        <v>9</v>
      </c>
      <c r="I21" s="61" t="n">
        <v>2</v>
      </c>
      <c r="J21" s="61" t="n">
        <v>2</v>
      </c>
      <c r="K21" s="62" t="n">
        <f aca="false">L21+M21</f>
        <v>0</v>
      </c>
      <c r="L21" s="62"/>
      <c r="M21" s="62"/>
      <c r="N21" s="61" t="n">
        <v>2</v>
      </c>
      <c r="O21" s="62" t="n">
        <f aca="false">P21+Q21</f>
        <v>0</v>
      </c>
      <c r="P21" s="62"/>
      <c r="Q21" s="63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33"/>
      <c r="B22" s="34"/>
      <c r="C22" s="34"/>
      <c r="D22" s="34"/>
      <c r="E22" s="34"/>
      <c r="F22" s="42"/>
      <c r="G22" s="43" t="s">
        <v>26</v>
      </c>
      <c r="H22" s="118" t="n">
        <v>1</v>
      </c>
      <c r="I22" s="64"/>
      <c r="J22" s="64"/>
      <c r="K22" s="65" t="n">
        <f aca="false">L22+M22</f>
        <v>0</v>
      </c>
      <c r="L22" s="65"/>
      <c r="M22" s="65"/>
      <c r="N22" s="64" t="n">
        <v>2</v>
      </c>
      <c r="O22" s="65" t="n">
        <f aca="false">P22+Q22</f>
        <v>0</v>
      </c>
      <c r="P22" s="65"/>
      <c r="Q22" s="66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" hidden="false" customHeight="true" outlineLevel="0" collapsed="false">
      <c r="A23" s="17"/>
      <c r="B23" s="18" t="s">
        <v>37</v>
      </c>
      <c r="C23" s="19" t="s">
        <v>38</v>
      </c>
      <c r="D23" s="19" t="s">
        <v>39</v>
      </c>
      <c r="E23" s="19" t="s">
        <v>25</v>
      </c>
      <c r="F23" s="22"/>
      <c r="G23" s="21" t="s">
        <v>22</v>
      </c>
      <c r="H23" s="114" t="n">
        <v>1</v>
      </c>
      <c r="I23" s="67"/>
      <c r="J23" s="67"/>
      <c r="K23" s="68" t="n">
        <f aca="false">L23+M23</f>
        <v>0</v>
      </c>
      <c r="L23" s="68"/>
      <c r="M23" s="68"/>
      <c r="N23" s="67" t="n">
        <v>3</v>
      </c>
      <c r="O23" s="68" t="n">
        <f aca="false">P23+Q23</f>
        <v>0</v>
      </c>
      <c r="P23" s="68"/>
      <c r="Q23" s="69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8.75" hidden="false" customHeight="true" outlineLevel="0" collapsed="false">
      <c r="A24" s="17"/>
      <c r="B24" s="18"/>
      <c r="C24" s="18"/>
      <c r="D24" s="18"/>
      <c r="E24" s="18"/>
      <c r="F24" s="42"/>
      <c r="G24" s="43" t="s">
        <v>26</v>
      </c>
      <c r="H24" s="122" t="n">
        <v>2</v>
      </c>
      <c r="I24" s="64"/>
      <c r="J24" s="64"/>
      <c r="K24" s="65" t="n">
        <f aca="false">L24+M24</f>
        <v>0</v>
      </c>
      <c r="L24" s="65"/>
      <c r="M24" s="65"/>
      <c r="N24" s="64" t="n">
        <v>2</v>
      </c>
      <c r="O24" s="65" t="n">
        <f aca="false">P24+Q24</f>
        <v>0</v>
      </c>
      <c r="P24" s="65"/>
      <c r="Q24" s="66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6.5" hidden="false" customHeight="true" outlineLevel="0" collapsed="false">
      <c r="A25" s="17"/>
      <c r="B25" s="18" t="s">
        <v>153</v>
      </c>
      <c r="C25" s="19"/>
      <c r="D25" s="19"/>
      <c r="E25" s="19"/>
      <c r="F25" s="20"/>
      <c r="G25" s="21" t="s">
        <v>22</v>
      </c>
      <c r="H25" s="112" t="n">
        <v>1</v>
      </c>
      <c r="I25" s="67"/>
      <c r="J25" s="67"/>
      <c r="K25" s="68" t="n">
        <f aca="false">L25+M25</f>
        <v>0</v>
      </c>
      <c r="L25" s="68"/>
      <c r="M25" s="68"/>
      <c r="N25" s="67"/>
      <c r="O25" s="68" t="n">
        <f aca="false">P25+Q25</f>
        <v>0</v>
      </c>
      <c r="P25" s="68"/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6.5" hidden="false" customHeight="true" outlineLevel="0" collapsed="false">
      <c r="A26" s="17"/>
      <c r="B26" s="18"/>
      <c r="C26" s="18"/>
      <c r="D26" s="18"/>
      <c r="E26" s="18"/>
      <c r="F26" s="57"/>
      <c r="G26" s="27" t="s">
        <v>23</v>
      </c>
      <c r="H26" s="123"/>
      <c r="I26" s="58"/>
      <c r="J26" s="58"/>
      <c r="K26" s="59" t="n">
        <f aca="false">L26+M26</f>
        <v>0</v>
      </c>
      <c r="L26" s="59"/>
      <c r="M26" s="59"/>
      <c r="N26" s="58"/>
      <c r="O26" s="59" t="n">
        <f aca="false">P26+Q26</f>
        <v>0</v>
      </c>
      <c r="P26" s="59"/>
      <c r="Q26" s="60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6.5" hidden="false" customHeight="true" outlineLevel="0" collapsed="false">
      <c r="A27" s="54"/>
      <c r="B27" s="55" t="s">
        <v>40</v>
      </c>
      <c r="C27" s="56" t="s">
        <v>38</v>
      </c>
      <c r="D27" s="56" t="s">
        <v>41</v>
      </c>
      <c r="E27" s="56" t="s">
        <v>42</v>
      </c>
      <c r="F27" s="36"/>
      <c r="G27" s="37" t="s">
        <v>22</v>
      </c>
      <c r="H27" s="116"/>
      <c r="I27" s="61"/>
      <c r="J27" s="61"/>
      <c r="K27" s="62" t="n">
        <f aca="false">L27+M27</f>
        <v>0</v>
      </c>
      <c r="L27" s="62"/>
      <c r="M27" s="62"/>
      <c r="N27" s="61"/>
      <c r="O27" s="62" t="n">
        <f aca="false">P27+Q27</f>
        <v>0</v>
      </c>
      <c r="P27" s="62"/>
      <c r="Q27" s="63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customFormat="false" ht="16.5" hidden="false" customHeight="true" outlineLevel="0" collapsed="false">
      <c r="A28" s="54"/>
      <c r="B28" s="55"/>
      <c r="C28" s="55"/>
      <c r="D28" s="55"/>
      <c r="E28" s="55"/>
      <c r="F28" s="57"/>
      <c r="G28" s="27" t="s">
        <v>23</v>
      </c>
      <c r="H28" s="115"/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5.75" hidden="false" customHeight="true" outlineLevel="0" collapsed="false">
      <c r="A29" s="54"/>
      <c r="B29" s="55" t="s">
        <v>43</v>
      </c>
      <c r="C29" s="56" t="s">
        <v>33</v>
      </c>
      <c r="D29" s="56" t="s">
        <v>44</v>
      </c>
      <c r="E29" s="56" t="s">
        <v>45</v>
      </c>
      <c r="F29" s="36"/>
      <c r="G29" s="21" t="s">
        <v>22</v>
      </c>
      <c r="H29" s="114" t="n">
        <v>5</v>
      </c>
      <c r="I29" s="61" t="n">
        <v>3</v>
      </c>
      <c r="J29" s="61" t="n">
        <v>3</v>
      </c>
      <c r="K29" s="62" t="n">
        <v>0</v>
      </c>
      <c r="L29" s="62"/>
      <c r="M29" s="62"/>
      <c r="N29" s="61" t="n">
        <v>7</v>
      </c>
      <c r="O29" s="62" t="n">
        <f aca="false">P29+Q29</f>
        <v>0</v>
      </c>
      <c r="P29" s="62"/>
      <c r="Q29" s="63"/>
      <c r="R29" s="70"/>
      <c r="S29" s="70"/>
      <c r="T29" s="70"/>
      <c r="U29" s="70"/>
      <c r="V29" s="70"/>
      <c r="W29" s="70"/>
      <c r="X29" s="70"/>
      <c r="Y29" s="70"/>
      <c r="Z29" s="70"/>
      <c r="AA29" s="70"/>
    </row>
    <row r="30" customFormat="false" ht="15.75" hidden="false" customHeight="true" outlineLevel="0" collapsed="false">
      <c r="A30" s="54"/>
      <c r="B30" s="55"/>
      <c r="C30" s="55"/>
      <c r="D30" s="55"/>
      <c r="E30" s="55"/>
      <c r="F30" s="26"/>
      <c r="G30" s="27" t="s">
        <v>26</v>
      </c>
      <c r="H30" s="115"/>
      <c r="I30" s="58"/>
      <c r="J30" s="58"/>
      <c r="K30" s="59" t="n">
        <f aca="false">L30+M30</f>
        <v>0</v>
      </c>
      <c r="L30" s="59"/>
      <c r="M30" s="59"/>
      <c r="N30" s="58" t="n">
        <v>2</v>
      </c>
      <c r="O30" s="59" t="n">
        <f aca="false">P30+Q30</f>
        <v>0</v>
      </c>
      <c r="P30" s="59"/>
      <c r="Q30" s="60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" hidden="false" customHeight="true" outlineLevel="0" collapsed="false">
      <c r="A31" s="33"/>
      <c r="B31" s="34" t="s">
        <v>46</v>
      </c>
      <c r="C31" s="35" t="s">
        <v>20</v>
      </c>
      <c r="D31" s="35"/>
      <c r="E31" s="35" t="s">
        <v>25</v>
      </c>
      <c r="F31" s="36"/>
      <c r="G31" s="21" t="s">
        <v>22</v>
      </c>
      <c r="H31" s="114" t="n">
        <v>3</v>
      </c>
      <c r="I31" s="61" t="n">
        <v>2</v>
      </c>
      <c r="J31" s="61" t="n">
        <v>2</v>
      </c>
      <c r="K31" s="62" t="n">
        <f aca="false">L31+M31</f>
        <v>0</v>
      </c>
      <c r="L31" s="62"/>
      <c r="M31" s="62"/>
      <c r="N31" s="61" t="n">
        <v>10</v>
      </c>
      <c r="O31" s="62" t="n">
        <f aca="false">P31+Q31</f>
        <v>0</v>
      </c>
      <c r="P31" s="62"/>
      <c r="Q31" s="63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customFormat="false" ht="15.75" hidden="false" customHeight="true" outlineLevel="0" collapsed="false">
      <c r="A32" s="33"/>
      <c r="B32" s="34"/>
      <c r="C32" s="34"/>
      <c r="D32" s="34"/>
      <c r="E32" s="34"/>
      <c r="F32" s="71"/>
      <c r="G32" s="43" t="s">
        <v>26</v>
      </c>
      <c r="H32" s="115"/>
      <c r="I32" s="64"/>
      <c r="J32" s="64"/>
      <c r="K32" s="65" t="n">
        <f aca="false">L32+M32</f>
        <v>0</v>
      </c>
      <c r="L32" s="65"/>
      <c r="M32" s="65"/>
      <c r="N32" s="64"/>
      <c r="O32" s="65" t="n">
        <f aca="false">P32+Q32</f>
        <v>0</v>
      </c>
      <c r="P32" s="65"/>
      <c r="Q32" s="66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.75" hidden="false" customHeight="true" outlineLevel="0" collapsed="false">
      <c r="A33" s="72"/>
      <c r="B33" s="73" t="s">
        <v>47</v>
      </c>
      <c r="C33" s="74" t="s">
        <v>20</v>
      </c>
      <c r="D33" s="74"/>
      <c r="E33" s="75" t="s">
        <v>25</v>
      </c>
      <c r="F33" s="22"/>
      <c r="G33" s="21" t="s">
        <v>22</v>
      </c>
      <c r="H33" s="114" t="n">
        <v>1</v>
      </c>
      <c r="I33" s="67"/>
      <c r="J33" s="67"/>
      <c r="K33" s="68" t="n">
        <f aca="false">L33+M33</f>
        <v>0</v>
      </c>
      <c r="L33" s="68"/>
      <c r="M33" s="68"/>
      <c r="N33" s="67"/>
      <c r="O33" s="68" t="n">
        <f aca="false">P33+Q33</f>
        <v>0</v>
      </c>
      <c r="P33" s="68"/>
      <c r="Q33" s="69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72"/>
      <c r="B34" s="73"/>
      <c r="C34" s="73"/>
      <c r="D34" s="73"/>
      <c r="E34" s="75"/>
      <c r="F34" s="42"/>
      <c r="G34" s="43" t="s">
        <v>26</v>
      </c>
      <c r="H34" s="117" t="n">
        <v>3</v>
      </c>
      <c r="I34" s="64"/>
      <c r="J34" s="64"/>
      <c r="K34" s="65" t="n">
        <f aca="false">L34+M34</f>
        <v>0</v>
      </c>
      <c r="L34" s="65"/>
      <c r="M34" s="65"/>
      <c r="N34" s="64"/>
      <c r="O34" s="65" t="n">
        <f aca="false">P34+Q34</f>
        <v>0</v>
      </c>
      <c r="P34" s="65"/>
      <c r="Q34" s="66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.75" hidden="false" customHeight="true" outlineLevel="0" collapsed="false">
      <c r="A35" s="17"/>
      <c r="B35" s="18" t="s">
        <v>48</v>
      </c>
      <c r="C35" s="19" t="s">
        <v>20</v>
      </c>
      <c r="D35" s="19"/>
      <c r="E35" s="19" t="s">
        <v>25</v>
      </c>
      <c r="F35" s="20"/>
      <c r="G35" s="21" t="s">
        <v>22</v>
      </c>
      <c r="H35" s="116"/>
      <c r="I35" s="67"/>
      <c r="J35" s="67"/>
      <c r="K35" s="68" t="n">
        <f aca="false">L35+M35</f>
        <v>0</v>
      </c>
      <c r="L35" s="68"/>
      <c r="M35" s="68"/>
      <c r="N35" s="67" t="n">
        <v>1</v>
      </c>
      <c r="O35" s="68" t="n">
        <f aca="false">P35+Q35</f>
        <v>0</v>
      </c>
      <c r="P35" s="68"/>
      <c r="Q35" s="69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17"/>
      <c r="B36" s="18"/>
      <c r="C36" s="18"/>
      <c r="D36" s="18"/>
      <c r="E36" s="18"/>
      <c r="F36" s="26"/>
      <c r="G36" s="27" t="s">
        <v>26</v>
      </c>
      <c r="H36" s="118" t="n">
        <v>2</v>
      </c>
      <c r="I36" s="58"/>
      <c r="J36" s="58"/>
      <c r="K36" s="59" t="n">
        <f aca="false">L36+M36</f>
        <v>0</v>
      </c>
      <c r="L36" s="59"/>
      <c r="M36" s="59"/>
      <c r="N36" s="58" t="n">
        <v>1</v>
      </c>
      <c r="O36" s="59" t="n">
        <f aca="false">P36+Q36</f>
        <v>0</v>
      </c>
      <c r="P36" s="59"/>
      <c r="Q36" s="60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" hidden="false" customHeight="true" outlineLevel="0" collapsed="false">
      <c r="A37" s="54"/>
      <c r="B37" s="55" t="s">
        <v>49</v>
      </c>
      <c r="C37" s="56" t="s">
        <v>20</v>
      </c>
      <c r="D37" s="78"/>
      <c r="E37" s="56" t="s">
        <v>50</v>
      </c>
      <c r="F37" s="36"/>
      <c r="G37" s="21" t="s">
        <v>22</v>
      </c>
      <c r="H37" s="116"/>
      <c r="I37" s="61"/>
      <c r="J37" s="61"/>
      <c r="K37" s="62" t="n">
        <f aca="false">L37+M37</f>
        <v>0</v>
      </c>
      <c r="L37" s="62"/>
      <c r="M37" s="62"/>
      <c r="N37" s="61"/>
      <c r="O37" s="62" t="n">
        <f aca="false">P37+Q37</f>
        <v>0</v>
      </c>
      <c r="P37" s="62"/>
      <c r="Q37" s="63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54"/>
      <c r="B38" s="55"/>
      <c r="C38" s="55"/>
      <c r="D38" s="55"/>
      <c r="E38" s="55"/>
      <c r="F38" s="57"/>
      <c r="G38" s="27" t="s">
        <v>26</v>
      </c>
      <c r="H38" s="115"/>
      <c r="I38" s="58"/>
      <c r="J38" s="58"/>
      <c r="K38" s="59" t="n">
        <f aca="false">L38+M38</f>
        <v>0</v>
      </c>
      <c r="L38" s="59"/>
      <c r="M38" s="59"/>
      <c r="N38" s="58"/>
      <c r="O38" s="59" t="n">
        <f aca="false">P38+Q38</f>
        <v>0</v>
      </c>
      <c r="P38" s="59"/>
      <c r="Q38" s="60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33"/>
      <c r="B39" s="34" t="s">
        <v>51</v>
      </c>
      <c r="C39" s="35" t="s">
        <v>20</v>
      </c>
      <c r="D39" s="35"/>
      <c r="E39" s="35" t="s">
        <v>52</v>
      </c>
      <c r="F39" s="36"/>
      <c r="G39" s="21" t="s">
        <v>22</v>
      </c>
      <c r="H39" s="116"/>
      <c r="I39" s="61"/>
      <c r="J39" s="61"/>
      <c r="K39" s="62" t="n">
        <f aca="false">L39+M39</f>
        <v>0</v>
      </c>
      <c r="L39" s="62"/>
      <c r="M39" s="62"/>
      <c r="N39" s="61" t="n">
        <v>1</v>
      </c>
      <c r="O39" s="62" t="n">
        <f aca="false">P39+Q39</f>
        <v>0</v>
      </c>
      <c r="P39" s="62"/>
      <c r="Q39" s="63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33"/>
      <c r="B40" s="34"/>
      <c r="C40" s="34"/>
      <c r="D40" s="34"/>
      <c r="E40" s="34"/>
      <c r="F40" s="71"/>
      <c r="G40" s="43" t="s">
        <v>26</v>
      </c>
      <c r="H40" s="124"/>
      <c r="I40" s="64"/>
      <c r="J40" s="64"/>
      <c r="K40" s="65" t="n">
        <f aca="false">L40+M40</f>
        <v>0</v>
      </c>
      <c r="L40" s="65"/>
      <c r="M40" s="65"/>
      <c r="N40" s="64"/>
      <c r="O40" s="65" t="n">
        <f aca="false">P40+Q40</f>
        <v>0</v>
      </c>
      <c r="P40" s="65"/>
      <c r="Q40" s="66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17"/>
      <c r="B41" s="18" t="s">
        <v>154</v>
      </c>
      <c r="C41" s="19"/>
      <c r="D41" s="19"/>
      <c r="E41" s="19"/>
      <c r="F41" s="20"/>
      <c r="G41" s="21" t="s">
        <v>22</v>
      </c>
      <c r="H41" s="125" t="n">
        <v>3</v>
      </c>
      <c r="I41" s="67"/>
      <c r="J41" s="67"/>
      <c r="K41" s="68" t="n">
        <f aca="false">L41+M41</f>
        <v>0</v>
      </c>
      <c r="L41" s="68"/>
      <c r="M41" s="68"/>
      <c r="N41" s="67"/>
      <c r="O41" s="68" t="n">
        <f aca="false">P41+Q41</f>
        <v>0</v>
      </c>
      <c r="P41" s="68"/>
      <c r="Q41" s="69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" hidden="false" customHeight="false" outlineLevel="0" collapsed="false">
      <c r="A42" s="17"/>
      <c r="B42" s="18"/>
      <c r="C42" s="18"/>
      <c r="D42" s="18"/>
      <c r="E42" s="18"/>
      <c r="F42" s="57"/>
      <c r="G42" s="27" t="s">
        <v>26</v>
      </c>
      <c r="H42" s="86"/>
      <c r="I42" s="58"/>
      <c r="J42" s="58"/>
      <c r="K42" s="59" t="n">
        <f aca="false">L42+M42</f>
        <v>0</v>
      </c>
      <c r="L42" s="59"/>
      <c r="M42" s="59"/>
      <c r="N42" s="58"/>
      <c r="O42" s="59" t="n">
        <f aca="false">P42+Q42</f>
        <v>0</v>
      </c>
      <c r="P42" s="59"/>
      <c r="Q42" s="60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" hidden="false" customHeight="true" outlineLevel="0" collapsed="false">
      <c r="A43" s="54"/>
      <c r="B43" s="55" t="s">
        <v>53</v>
      </c>
      <c r="C43" s="56" t="s">
        <v>33</v>
      </c>
      <c r="D43" s="56" t="s">
        <v>54</v>
      </c>
      <c r="E43" s="56" t="s">
        <v>42</v>
      </c>
      <c r="F43" s="36"/>
      <c r="G43" s="37" t="s">
        <v>22</v>
      </c>
      <c r="H43" s="114" t="n">
        <v>8</v>
      </c>
      <c r="I43" s="61" t="n">
        <v>5</v>
      </c>
      <c r="J43" s="61" t="n">
        <v>5</v>
      </c>
      <c r="K43" s="62" t="n">
        <f aca="false">L43+M43</f>
        <v>0</v>
      </c>
      <c r="L43" s="62"/>
      <c r="M43" s="62"/>
      <c r="N43" s="61" t="n">
        <v>11</v>
      </c>
      <c r="O43" s="62" t="n">
        <f aca="false">P43+Q43</f>
        <v>0</v>
      </c>
      <c r="P43" s="62"/>
      <c r="Q43" s="63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.75" hidden="false" customHeight="true" outlineLevel="0" collapsed="false">
      <c r="A44" s="54"/>
      <c r="B44" s="55"/>
      <c r="C44" s="55"/>
      <c r="D44" s="55"/>
      <c r="E44" s="55"/>
      <c r="F44" s="57"/>
      <c r="G44" s="27" t="s">
        <v>23</v>
      </c>
      <c r="H44" s="115"/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33"/>
      <c r="B45" s="34" t="s">
        <v>55</v>
      </c>
      <c r="C45" s="35" t="s">
        <v>20</v>
      </c>
      <c r="D45" s="35"/>
      <c r="E45" s="35" t="s">
        <v>25</v>
      </c>
      <c r="F45" s="38"/>
      <c r="G45" s="21" t="s">
        <v>22</v>
      </c>
      <c r="H45" s="116"/>
      <c r="I45" s="61"/>
      <c r="J45" s="61"/>
      <c r="K45" s="62" t="n">
        <f aca="false">L45+M45</f>
        <v>0</v>
      </c>
      <c r="L45" s="62"/>
      <c r="M45" s="62"/>
      <c r="N45" s="61"/>
      <c r="O45" s="62" t="n">
        <f aca="false">P45+Q45</f>
        <v>0</v>
      </c>
      <c r="P45" s="62"/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33"/>
      <c r="B46" s="34"/>
      <c r="C46" s="34"/>
      <c r="D46" s="34"/>
      <c r="E46" s="34"/>
      <c r="F46" s="42"/>
      <c r="G46" s="43" t="s">
        <v>26</v>
      </c>
      <c r="H46" s="117" t="n">
        <v>2</v>
      </c>
      <c r="I46" s="64"/>
      <c r="J46" s="64"/>
      <c r="K46" s="65" t="n">
        <f aca="false">L46+M46</f>
        <v>0</v>
      </c>
      <c r="L46" s="65"/>
      <c r="M46" s="65"/>
      <c r="N46" s="64" t="n">
        <v>3</v>
      </c>
      <c r="O46" s="65" t="n">
        <f aca="false">P46+Q46</f>
        <v>0</v>
      </c>
      <c r="P46" s="65"/>
      <c r="Q46" s="66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.75" hidden="false" customHeight="true" outlineLevel="0" collapsed="false">
      <c r="A47" s="17"/>
      <c r="B47" s="18" t="s">
        <v>56</v>
      </c>
      <c r="C47" s="19" t="s">
        <v>33</v>
      </c>
      <c r="D47" s="19" t="s">
        <v>57</v>
      </c>
      <c r="E47" s="19" t="s">
        <v>25</v>
      </c>
      <c r="F47" s="20"/>
      <c r="G47" s="21" t="s">
        <v>22</v>
      </c>
      <c r="H47" s="114" t="n">
        <v>1</v>
      </c>
      <c r="I47" s="67"/>
      <c r="J47" s="67"/>
      <c r="K47" s="68" t="n">
        <f aca="false">L47+M47</f>
        <v>0</v>
      </c>
      <c r="L47" s="68"/>
      <c r="M47" s="68"/>
      <c r="N47" s="67"/>
      <c r="O47" s="68" t="n">
        <f aca="false">P47+Q47</f>
        <v>0</v>
      </c>
      <c r="P47" s="68"/>
      <c r="Q47" s="69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17"/>
      <c r="B48" s="18"/>
      <c r="C48" s="18"/>
      <c r="D48" s="18"/>
      <c r="E48" s="18"/>
      <c r="F48" s="42"/>
      <c r="G48" s="43" t="s">
        <v>26</v>
      </c>
      <c r="H48" s="124"/>
      <c r="I48" s="64"/>
      <c r="J48" s="64"/>
      <c r="K48" s="65" t="n">
        <f aca="false">L48+M48</f>
        <v>0</v>
      </c>
      <c r="L48" s="65"/>
      <c r="M48" s="65"/>
      <c r="N48" s="64"/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" hidden="false" customHeight="true" outlineLevel="0" collapsed="false">
      <c r="A49" s="17"/>
      <c r="B49" s="18" t="s">
        <v>155</v>
      </c>
      <c r="C49" s="19"/>
      <c r="D49" s="19"/>
      <c r="E49" s="19"/>
      <c r="F49" s="20"/>
      <c r="G49" s="21" t="s">
        <v>22</v>
      </c>
      <c r="H49" s="125" t="n">
        <v>1</v>
      </c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" hidden="false" customHeight="false" outlineLevel="0" collapsed="false">
      <c r="A50" s="17"/>
      <c r="B50" s="18"/>
      <c r="C50" s="18"/>
      <c r="D50" s="18"/>
      <c r="E50" s="18"/>
      <c r="F50" s="57"/>
      <c r="G50" s="27" t="s">
        <v>26</v>
      </c>
      <c r="H50" s="86"/>
      <c r="I50" s="58"/>
      <c r="J50" s="58"/>
      <c r="K50" s="59" t="n">
        <f aca="false">L50+M50</f>
        <v>0</v>
      </c>
      <c r="L50" s="59"/>
      <c r="M50" s="59"/>
      <c r="N50" s="58"/>
      <c r="O50" s="59" t="n">
        <f aca="false">P50+Q50</f>
        <v>0</v>
      </c>
      <c r="P50" s="59"/>
      <c r="Q50" s="60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" hidden="false" customHeight="true" outlineLevel="0" collapsed="false">
      <c r="A51" s="33"/>
      <c r="B51" s="34" t="s">
        <v>58</v>
      </c>
      <c r="C51" s="35" t="s">
        <v>20</v>
      </c>
      <c r="D51" s="35"/>
      <c r="E51" s="35" t="s">
        <v>52</v>
      </c>
      <c r="F51" s="36"/>
      <c r="G51" s="37" t="s">
        <v>22</v>
      </c>
      <c r="H51" s="114" t="n">
        <v>2</v>
      </c>
      <c r="I51" s="61"/>
      <c r="J51" s="61"/>
      <c r="K51" s="62" t="n">
        <f aca="false">L51+M51</f>
        <v>0</v>
      </c>
      <c r="L51" s="62"/>
      <c r="M51" s="62"/>
      <c r="N51" s="61" t="n">
        <v>2</v>
      </c>
      <c r="O51" s="62" t="n">
        <f aca="false">P51+Q51</f>
        <v>0</v>
      </c>
      <c r="P51" s="62"/>
      <c r="Q51" s="63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.75" hidden="false" customHeight="true" outlineLevel="0" collapsed="false">
      <c r="A52" s="33"/>
      <c r="B52" s="34"/>
      <c r="C52" s="34"/>
      <c r="D52" s="34"/>
      <c r="E52" s="34"/>
      <c r="F52" s="71"/>
      <c r="G52" s="43" t="s">
        <v>26</v>
      </c>
      <c r="H52" s="115"/>
      <c r="I52" s="64"/>
      <c r="J52" s="64"/>
      <c r="K52" s="65" t="n">
        <f aca="false">L52+M52</f>
        <v>0</v>
      </c>
      <c r="L52" s="65"/>
      <c r="M52" s="65"/>
      <c r="N52" s="64"/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" hidden="false" customHeight="true" outlineLevel="0" collapsed="false">
      <c r="A53" s="72"/>
      <c r="B53" s="73" t="s">
        <v>59</v>
      </c>
      <c r="C53" s="74" t="s">
        <v>20</v>
      </c>
      <c r="D53" s="79"/>
      <c r="E53" s="74" t="s">
        <v>25</v>
      </c>
      <c r="F53" s="22"/>
      <c r="G53" s="21" t="s">
        <v>22</v>
      </c>
      <c r="H53" s="116"/>
      <c r="I53" s="67"/>
      <c r="J53" s="67"/>
      <c r="K53" s="68" t="n">
        <f aca="false">L53+M53</f>
        <v>0</v>
      </c>
      <c r="L53" s="68"/>
      <c r="M53" s="68"/>
      <c r="N53" s="67"/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72"/>
      <c r="B54" s="73"/>
      <c r="C54" s="73"/>
      <c r="D54" s="73"/>
      <c r="E54" s="73"/>
      <c r="F54" s="71"/>
      <c r="G54" s="43" t="s">
        <v>26</v>
      </c>
      <c r="H54" s="115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17"/>
      <c r="B55" s="18" t="s">
        <v>60</v>
      </c>
      <c r="C55" s="19" t="s">
        <v>20</v>
      </c>
      <c r="D55" s="19"/>
      <c r="E55" s="19" t="s">
        <v>21</v>
      </c>
      <c r="F55" s="22"/>
      <c r="G55" s="21" t="s">
        <v>22</v>
      </c>
      <c r="H55" s="119" t="n">
        <v>1</v>
      </c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17"/>
      <c r="B56" s="18"/>
      <c r="C56" s="18"/>
      <c r="D56" s="18"/>
      <c r="E56" s="18"/>
      <c r="F56" s="57"/>
      <c r="G56" s="27" t="s">
        <v>23</v>
      </c>
      <c r="H56" s="115"/>
      <c r="I56" s="58"/>
      <c r="J56" s="58"/>
      <c r="K56" s="59" t="n">
        <f aca="false">L56+M56</f>
        <v>0</v>
      </c>
      <c r="L56" s="59"/>
      <c r="M56" s="59"/>
      <c r="N56" s="58"/>
      <c r="O56" s="59" t="n">
        <f aca="false">P56+Q56</f>
        <v>0</v>
      </c>
      <c r="P56" s="59"/>
      <c r="Q56" s="60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.75" hidden="false" customHeight="true" outlineLevel="0" collapsed="false">
      <c r="A57" s="33"/>
      <c r="B57" s="34" t="s">
        <v>61</v>
      </c>
      <c r="C57" s="35" t="s">
        <v>33</v>
      </c>
      <c r="D57" s="56" t="s">
        <v>62</v>
      </c>
      <c r="E57" s="35" t="s">
        <v>25</v>
      </c>
      <c r="F57" s="36"/>
      <c r="G57" s="21" t="s">
        <v>22</v>
      </c>
      <c r="H57" s="114" t="n">
        <v>3</v>
      </c>
      <c r="I57" s="61" t="n">
        <v>1</v>
      </c>
      <c r="J57" s="61" t="n">
        <v>1</v>
      </c>
      <c r="K57" s="62" t="n">
        <f aca="false">L57+M57</f>
        <v>0</v>
      </c>
      <c r="L57" s="62"/>
      <c r="M57" s="62"/>
      <c r="N57" s="61"/>
      <c r="O57" s="62" t="n">
        <f aca="false">P57+Q57</f>
        <v>0</v>
      </c>
      <c r="P57" s="62"/>
      <c r="Q57" s="63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33"/>
      <c r="B58" s="34"/>
      <c r="C58" s="34"/>
      <c r="D58" s="56"/>
      <c r="E58" s="35"/>
      <c r="F58" s="42"/>
      <c r="G58" s="43" t="s">
        <v>26</v>
      </c>
      <c r="H58" s="115"/>
      <c r="I58" s="64"/>
      <c r="J58" s="64"/>
      <c r="K58" s="65" t="n">
        <f aca="false">L58+M58</f>
        <v>0</v>
      </c>
      <c r="L58" s="65"/>
      <c r="M58" s="65"/>
      <c r="N58" s="64" t="n">
        <v>2</v>
      </c>
      <c r="O58" s="65" t="n">
        <f aca="false">P58+Q58</f>
        <v>0</v>
      </c>
      <c r="P58" s="65"/>
      <c r="Q58" s="66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.75" hidden="false" customHeight="true" outlineLevel="0" collapsed="false">
      <c r="A59" s="72"/>
      <c r="B59" s="73" t="s">
        <v>63</v>
      </c>
      <c r="C59" s="74" t="s">
        <v>20</v>
      </c>
      <c r="D59" s="74"/>
      <c r="E59" s="74" t="s">
        <v>25</v>
      </c>
      <c r="F59" s="20"/>
      <c r="G59" s="21" t="s">
        <v>22</v>
      </c>
      <c r="H59" s="119" t="n">
        <v>1</v>
      </c>
      <c r="I59" s="67"/>
      <c r="J59" s="67"/>
      <c r="K59" s="68" t="n">
        <f aca="false">L59+M59</f>
        <v>0</v>
      </c>
      <c r="L59" s="68"/>
      <c r="M59" s="68"/>
      <c r="N59" s="67" t="n">
        <v>3</v>
      </c>
      <c r="O59" s="68" t="n">
        <f aca="false">P59+Q59</f>
        <v>0</v>
      </c>
      <c r="P59" s="68"/>
      <c r="Q59" s="69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72"/>
      <c r="B60" s="73"/>
      <c r="C60" s="73"/>
      <c r="D60" s="73"/>
      <c r="E60" s="73"/>
      <c r="F60" s="42"/>
      <c r="G60" s="43" t="s">
        <v>26</v>
      </c>
      <c r="H60" s="115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" hidden="false" customHeight="true" outlineLevel="0" collapsed="false">
      <c r="A61" s="72"/>
      <c r="B61" s="73" t="s">
        <v>64</v>
      </c>
      <c r="C61" s="74" t="s">
        <v>20</v>
      </c>
      <c r="D61" s="74"/>
      <c r="E61" s="74" t="s">
        <v>25</v>
      </c>
      <c r="F61" s="20"/>
      <c r="G61" s="21" t="s">
        <v>22</v>
      </c>
      <c r="H61" s="116"/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72"/>
      <c r="B62" s="73"/>
      <c r="C62" s="73"/>
      <c r="D62" s="73"/>
      <c r="E62" s="73"/>
      <c r="F62" s="71"/>
      <c r="G62" s="43" t="s">
        <v>26</v>
      </c>
      <c r="H62" s="115"/>
      <c r="I62" s="64"/>
      <c r="J62" s="64"/>
      <c r="K62" s="65" t="n">
        <f aca="false">L62+M62</f>
        <v>0</v>
      </c>
      <c r="L62" s="65"/>
      <c r="M62" s="65"/>
      <c r="N62" s="64"/>
      <c r="O62" s="65" t="n">
        <f aca="false">P62+Q62</f>
        <v>0</v>
      </c>
      <c r="P62" s="65"/>
      <c r="Q62" s="66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.75" hidden="false" customHeight="true" outlineLevel="0" collapsed="false">
      <c r="A63" s="17"/>
      <c r="B63" s="18" t="s">
        <v>65</v>
      </c>
      <c r="C63" s="19" t="s">
        <v>33</v>
      </c>
      <c r="D63" s="19" t="s">
        <v>66</v>
      </c>
      <c r="E63" s="19" t="s">
        <v>67</v>
      </c>
      <c r="F63" s="20"/>
      <c r="G63" s="21" t="s">
        <v>22</v>
      </c>
      <c r="H63" s="114" t="n">
        <v>2</v>
      </c>
      <c r="I63" s="67" t="n">
        <v>1</v>
      </c>
      <c r="J63" s="67" t="n">
        <v>1</v>
      </c>
      <c r="K63" s="68" t="n">
        <f aca="false">L63+M63</f>
        <v>0</v>
      </c>
      <c r="L63" s="68"/>
      <c r="M63" s="68"/>
      <c r="N63" s="67" t="n">
        <v>7</v>
      </c>
      <c r="O63" s="68" t="n">
        <f aca="false">P63+Q63</f>
        <v>0</v>
      </c>
      <c r="P63" s="68"/>
      <c r="Q63" s="69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17"/>
      <c r="B64" s="18"/>
      <c r="C64" s="18"/>
      <c r="D64" s="18"/>
      <c r="E64" s="18"/>
      <c r="F64" s="26"/>
      <c r="G64" s="27" t="s">
        <v>23</v>
      </c>
      <c r="H64" s="117" t="n">
        <v>12</v>
      </c>
      <c r="I64" s="58" t="n">
        <v>12</v>
      </c>
      <c r="J64" s="58" t="n">
        <v>12</v>
      </c>
      <c r="K64" s="59" t="n">
        <f aca="false">L64+M64</f>
        <v>0</v>
      </c>
      <c r="L64" s="59"/>
      <c r="M64" s="59"/>
      <c r="N64" s="58"/>
      <c r="O64" s="59" t="n">
        <f aca="false">P64+Q64</f>
        <v>0</v>
      </c>
      <c r="P64" s="59"/>
      <c r="Q64" s="60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" hidden="false" customHeight="true" outlineLevel="0" collapsed="false">
      <c r="A65" s="33"/>
      <c r="B65" s="34" t="s">
        <v>68</v>
      </c>
      <c r="C65" s="35" t="s">
        <v>20</v>
      </c>
      <c r="D65" s="35"/>
      <c r="E65" s="35" t="s">
        <v>69</v>
      </c>
      <c r="F65" s="38"/>
      <c r="G65" s="21" t="s">
        <v>22</v>
      </c>
      <c r="H65" s="119" t="n">
        <v>3</v>
      </c>
      <c r="I65" s="61"/>
      <c r="J65" s="61"/>
      <c r="K65" s="62" t="n">
        <f aca="false">L65+M65</f>
        <v>0</v>
      </c>
      <c r="L65" s="62"/>
      <c r="M65" s="62"/>
      <c r="N65" s="61" t="n">
        <v>10</v>
      </c>
      <c r="O65" s="62" t="n">
        <f aca="false">P65+Q65</f>
        <v>0</v>
      </c>
      <c r="P65" s="62"/>
      <c r="Q65" s="63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33"/>
      <c r="B66" s="34"/>
      <c r="C66" s="34"/>
      <c r="D66" s="34"/>
      <c r="E66" s="34"/>
      <c r="F66" s="42"/>
      <c r="G66" s="43" t="s">
        <v>26</v>
      </c>
      <c r="H66" s="115"/>
      <c r="I66" s="64"/>
      <c r="J66" s="64"/>
      <c r="K66" s="65" t="n">
        <f aca="false">L66+M66</f>
        <v>0</v>
      </c>
      <c r="L66" s="65"/>
      <c r="M66" s="65"/>
      <c r="N66" s="64"/>
      <c r="O66" s="65" t="n">
        <f aca="false">P66+Q66</f>
        <v>0</v>
      </c>
      <c r="P66" s="65"/>
      <c r="Q66" s="66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17"/>
      <c r="B67" s="18" t="s">
        <v>70</v>
      </c>
      <c r="C67" s="19" t="s">
        <v>20</v>
      </c>
      <c r="D67" s="19" t="s">
        <v>71</v>
      </c>
      <c r="E67" s="19" t="s">
        <v>25</v>
      </c>
      <c r="F67" s="20"/>
      <c r="G67" s="21" t="s">
        <v>22</v>
      </c>
      <c r="H67" s="116"/>
      <c r="I67" s="67"/>
      <c r="J67" s="67"/>
      <c r="K67" s="68" t="n">
        <f aca="false">L67+M67</f>
        <v>0</v>
      </c>
      <c r="L67" s="68"/>
      <c r="M67" s="68"/>
      <c r="N67" s="67"/>
      <c r="O67" s="68" t="n">
        <f aca="false">P67+Q67</f>
        <v>0</v>
      </c>
      <c r="P67" s="68"/>
      <c r="Q67" s="69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17"/>
      <c r="B68" s="18"/>
      <c r="C68" s="18"/>
      <c r="D68" s="18"/>
      <c r="E68" s="18"/>
      <c r="F68" s="26"/>
      <c r="G68" s="27" t="s">
        <v>26</v>
      </c>
      <c r="H68" s="115"/>
      <c r="I68" s="58"/>
      <c r="J68" s="58"/>
      <c r="K68" s="59" t="n">
        <f aca="false">L68+M68</f>
        <v>0</v>
      </c>
      <c r="L68" s="59"/>
      <c r="M68" s="59"/>
      <c r="N68" s="58"/>
      <c r="O68" s="59" t="n">
        <f aca="false">P68+Q68</f>
        <v>0</v>
      </c>
      <c r="P68" s="59"/>
      <c r="Q68" s="60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33"/>
      <c r="B69" s="34" t="s">
        <v>72</v>
      </c>
      <c r="C69" s="35" t="s">
        <v>20</v>
      </c>
      <c r="D69" s="35"/>
      <c r="E69" s="35" t="s">
        <v>52</v>
      </c>
      <c r="F69" s="36"/>
      <c r="G69" s="21" t="s">
        <v>22</v>
      </c>
      <c r="H69" s="114" t="n">
        <v>1</v>
      </c>
      <c r="I69" s="61"/>
      <c r="J69" s="61"/>
      <c r="K69" s="62" t="n">
        <f aca="false">L69+M69</f>
        <v>0</v>
      </c>
      <c r="L69" s="62"/>
      <c r="M69" s="62"/>
      <c r="N69" s="61"/>
      <c r="O69" s="62" t="n">
        <f aca="false">P69+Q69</f>
        <v>0</v>
      </c>
      <c r="P69" s="62"/>
      <c r="Q69" s="63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42"/>
      <c r="G70" s="43" t="s">
        <v>26</v>
      </c>
      <c r="H70" s="117" t="n">
        <v>1</v>
      </c>
      <c r="I70" s="64"/>
      <c r="J70" s="64"/>
      <c r="K70" s="65" t="n">
        <f aca="false">L70+M70</f>
        <v>0</v>
      </c>
      <c r="L70" s="65"/>
      <c r="M70" s="65"/>
      <c r="N70" s="64" t="n">
        <v>3</v>
      </c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" hidden="false" customHeight="true" outlineLevel="0" collapsed="false">
      <c r="A71" s="17"/>
      <c r="B71" s="18" t="s">
        <v>73</v>
      </c>
      <c r="C71" s="19" t="s">
        <v>20</v>
      </c>
      <c r="D71" s="19"/>
      <c r="E71" s="19" t="s">
        <v>52</v>
      </c>
      <c r="F71" s="20"/>
      <c r="G71" s="21" t="s">
        <v>22</v>
      </c>
      <c r="H71" s="114" t="n">
        <v>1</v>
      </c>
      <c r="I71" s="67" t="n">
        <v>1</v>
      </c>
      <c r="J71" s="67" t="n">
        <v>1</v>
      </c>
      <c r="K71" s="68" t="n">
        <f aca="false">L71+M71</f>
        <v>0</v>
      </c>
      <c r="L71" s="68"/>
      <c r="M71" s="68"/>
      <c r="N71" s="67" t="n">
        <v>2</v>
      </c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26"/>
      <c r="G72" s="27" t="s">
        <v>26</v>
      </c>
      <c r="H72" s="118" t="n">
        <v>2</v>
      </c>
      <c r="I72" s="58"/>
      <c r="J72" s="58"/>
      <c r="K72" s="59" t="n">
        <f aca="false">L72+M72</f>
        <v>0</v>
      </c>
      <c r="L72" s="59"/>
      <c r="M72" s="59"/>
      <c r="N72" s="58" t="n">
        <v>1</v>
      </c>
      <c r="O72" s="59" t="n">
        <f aca="false">P72+Q72</f>
        <v>0</v>
      </c>
      <c r="P72" s="59"/>
      <c r="Q72" s="60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.75" hidden="false" customHeight="true" outlineLevel="0" collapsed="false">
      <c r="A73" s="33"/>
      <c r="B73" s="34" t="s">
        <v>74</v>
      </c>
      <c r="C73" s="35" t="s">
        <v>33</v>
      </c>
      <c r="D73" s="35" t="s">
        <v>75</v>
      </c>
      <c r="E73" s="35" t="s">
        <v>25</v>
      </c>
      <c r="F73" s="36"/>
      <c r="G73" s="21" t="s">
        <v>22</v>
      </c>
      <c r="H73" s="114" t="n">
        <v>13</v>
      </c>
      <c r="I73" s="61" t="n">
        <v>6</v>
      </c>
      <c r="J73" s="61" t="n">
        <v>6</v>
      </c>
      <c r="K73" s="62" t="n">
        <f aca="false">L73+M73</f>
        <v>0</v>
      </c>
      <c r="L73" s="62"/>
      <c r="M73" s="62"/>
      <c r="N73" s="61" t="n">
        <v>16</v>
      </c>
      <c r="O73" s="62" t="n">
        <f aca="false">P73+Q73</f>
        <v>0</v>
      </c>
      <c r="P73" s="62"/>
      <c r="Q73" s="63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.75" hidden="false" customHeight="true" outlineLevel="0" collapsed="false">
      <c r="A74" s="33"/>
      <c r="B74" s="34"/>
      <c r="C74" s="34"/>
      <c r="D74" s="34"/>
      <c r="E74" s="34"/>
      <c r="F74" s="42"/>
      <c r="G74" s="43" t="s">
        <v>26</v>
      </c>
      <c r="H74" s="115"/>
      <c r="I74" s="64"/>
      <c r="J74" s="64"/>
      <c r="K74" s="65" t="n">
        <f aca="false">L74+M74</f>
        <v>0</v>
      </c>
      <c r="L74" s="65"/>
      <c r="M74" s="65"/>
      <c r="N74" s="64" t="n">
        <v>2</v>
      </c>
      <c r="O74" s="65" t="n">
        <f aca="false">P74+Q74</f>
        <v>0</v>
      </c>
      <c r="P74" s="65"/>
      <c r="Q74" s="66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" hidden="false" customHeight="true" outlineLevel="0" collapsed="false">
      <c r="A75" s="72"/>
      <c r="B75" s="73" t="s">
        <v>76</v>
      </c>
      <c r="C75" s="74" t="s">
        <v>20</v>
      </c>
      <c r="D75" s="74"/>
      <c r="E75" s="74" t="s">
        <v>25</v>
      </c>
      <c r="F75" s="20"/>
      <c r="G75" s="21" t="s">
        <v>22</v>
      </c>
      <c r="H75" s="114" t="n">
        <v>7</v>
      </c>
      <c r="I75" s="67" t="n">
        <v>1</v>
      </c>
      <c r="J75" s="67" t="n">
        <v>1</v>
      </c>
      <c r="K75" s="68" t="n">
        <f aca="false">L75+M75</f>
        <v>0</v>
      </c>
      <c r="L75" s="68"/>
      <c r="M75" s="68"/>
      <c r="N75" s="67" t="n">
        <v>1</v>
      </c>
      <c r="O75" s="68" t="n">
        <f aca="false">P75+Q75</f>
        <v>0</v>
      </c>
      <c r="P75" s="68"/>
      <c r="Q75" s="69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.75" hidden="false" customHeight="true" outlineLevel="0" collapsed="false">
      <c r="A76" s="72"/>
      <c r="B76" s="73"/>
      <c r="C76" s="73"/>
      <c r="D76" s="73"/>
      <c r="E76" s="73"/>
      <c r="F76" s="42"/>
      <c r="G76" s="43" t="s">
        <v>26</v>
      </c>
      <c r="H76" s="117" t="n">
        <v>3</v>
      </c>
      <c r="I76" s="64"/>
      <c r="J76" s="64"/>
      <c r="K76" s="65" t="n">
        <f aca="false">L76+M76</f>
        <v>0</v>
      </c>
      <c r="L76" s="65"/>
      <c r="M76" s="65"/>
      <c r="N76" s="64" t="n">
        <v>3</v>
      </c>
      <c r="O76" s="65" t="n">
        <f aca="false">P76+Q76</f>
        <v>0</v>
      </c>
      <c r="P76" s="65"/>
      <c r="Q76" s="66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" hidden="false" customHeight="true" outlineLevel="0" collapsed="false">
      <c r="A77" s="17"/>
      <c r="B77" s="18" t="s">
        <v>77</v>
      </c>
      <c r="C77" s="19" t="s">
        <v>38</v>
      </c>
      <c r="D77" s="19" t="s">
        <v>78</v>
      </c>
      <c r="E77" s="19" t="s">
        <v>25</v>
      </c>
      <c r="F77" s="22"/>
      <c r="G77" s="21" t="s">
        <v>22</v>
      </c>
      <c r="H77" s="119" t="n">
        <v>5</v>
      </c>
      <c r="I77" s="67" t="n">
        <v>5</v>
      </c>
      <c r="J77" s="67" t="n">
        <v>5</v>
      </c>
      <c r="K77" s="68" t="n">
        <f aca="false">L77+M77</f>
        <v>0</v>
      </c>
      <c r="L77" s="68"/>
      <c r="M77" s="68"/>
      <c r="N77" s="67" t="n">
        <v>1</v>
      </c>
      <c r="O77" s="68" t="n">
        <f aca="false">P77+Q77</f>
        <v>0</v>
      </c>
      <c r="P77" s="68"/>
      <c r="Q77" s="69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80"/>
      <c r="G78" s="81" t="s">
        <v>26</v>
      </c>
      <c r="H78" s="114" t="n">
        <v>2</v>
      </c>
      <c r="I78" s="82"/>
      <c r="J78" s="82"/>
      <c r="K78" s="83" t="n">
        <f aca="false">L78+M78</f>
        <v>0</v>
      </c>
      <c r="L78" s="83"/>
      <c r="M78" s="83"/>
      <c r="N78" s="82" t="n">
        <v>4</v>
      </c>
      <c r="O78" s="83" t="n">
        <f aca="false">P78+Q78</f>
        <v>0</v>
      </c>
      <c r="P78" s="83"/>
      <c r="Q78" s="84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" hidden="false" customHeight="false" outlineLevel="0" collapsed="false">
      <c r="A79" s="17"/>
      <c r="B79" s="18"/>
      <c r="C79" s="18"/>
      <c r="D79" s="18"/>
      <c r="E79" s="18"/>
      <c r="F79" s="85"/>
      <c r="G79" s="86" t="s">
        <v>23</v>
      </c>
      <c r="H79" s="120" t="n">
        <v>1</v>
      </c>
      <c r="I79" s="58" t="n">
        <v>1</v>
      </c>
      <c r="J79" s="58" t="n">
        <v>1</v>
      </c>
      <c r="K79" s="59" t="n">
        <f aca="false">L79+M79</f>
        <v>0</v>
      </c>
      <c r="L79" s="59"/>
      <c r="M79" s="59"/>
      <c r="N79" s="58" t="n">
        <v>2</v>
      </c>
      <c r="O79" s="59" t="n">
        <f aca="false">P79+Q79</f>
        <v>0</v>
      </c>
      <c r="P79" s="59"/>
      <c r="Q79" s="60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" hidden="false" customHeight="true" outlineLevel="0" collapsed="false">
      <c r="A80" s="33"/>
      <c r="B80" s="34" t="s">
        <v>79</v>
      </c>
      <c r="C80" s="35" t="s">
        <v>20</v>
      </c>
      <c r="D80" s="35"/>
      <c r="E80" s="35" t="s">
        <v>52</v>
      </c>
      <c r="F80" s="38"/>
      <c r="G80" s="21" t="s">
        <v>22</v>
      </c>
      <c r="H80" s="114" t="n">
        <v>1</v>
      </c>
      <c r="I80" s="61" t="n">
        <v>1</v>
      </c>
      <c r="J80" s="61" t="n">
        <v>1</v>
      </c>
      <c r="K80" s="62" t="n">
        <f aca="false">L80+M80</f>
        <v>0</v>
      </c>
      <c r="L80" s="62"/>
      <c r="M80" s="62"/>
      <c r="N80" s="61" t="n">
        <v>1</v>
      </c>
      <c r="O80" s="62" t="n">
        <f aca="false">P80+Q80</f>
        <v>0</v>
      </c>
      <c r="P80" s="62"/>
      <c r="Q80" s="63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.75" hidden="false" customHeight="true" outlineLevel="0" collapsed="false">
      <c r="A81" s="33"/>
      <c r="B81" s="34"/>
      <c r="C81" s="34"/>
      <c r="D81" s="34"/>
      <c r="E81" s="34"/>
      <c r="F81" s="42"/>
      <c r="G81" s="43" t="s">
        <v>26</v>
      </c>
      <c r="H81" s="115"/>
      <c r="I81" s="64"/>
      <c r="J81" s="64"/>
      <c r="K81" s="65" t="n">
        <f aca="false">L81+M81</f>
        <v>0</v>
      </c>
      <c r="L81" s="65"/>
      <c r="M81" s="65"/>
      <c r="N81" s="64"/>
      <c r="O81" s="65" t="n">
        <f aca="false">P81+Q81</f>
        <v>0</v>
      </c>
      <c r="P81" s="65"/>
      <c r="Q81" s="66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" hidden="false" customHeight="true" outlineLevel="0" collapsed="false">
      <c r="A82" s="72"/>
      <c r="B82" s="73" t="s">
        <v>80</v>
      </c>
      <c r="C82" s="74" t="s">
        <v>20</v>
      </c>
      <c r="D82" s="74"/>
      <c r="E82" s="74" t="s">
        <v>81</v>
      </c>
      <c r="F82" s="20"/>
      <c r="G82" s="21" t="s">
        <v>22</v>
      </c>
      <c r="H82" s="114" t="n">
        <v>2</v>
      </c>
      <c r="I82" s="67"/>
      <c r="J82" s="67"/>
      <c r="K82" s="68" t="n">
        <f aca="false">L82+M82</f>
        <v>0</v>
      </c>
      <c r="L82" s="68"/>
      <c r="M82" s="68"/>
      <c r="N82" s="67"/>
      <c r="O82" s="68" t="n">
        <f aca="false">P82+Q82</f>
        <v>0</v>
      </c>
      <c r="P82" s="68"/>
      <c r="Q82" s="69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72"/>
      <c r="B83" s="73"/>
      <c r="C83" s="73"/>
      <c r="D83" s="73"/>
      <c r="E83" s="73"/>
      <c r="F83" s="42"/>
      <c r="G83" s="43" t="s">
        <v>26</v>
      </c>
      <c r="H83" s="115"/>
      <c r="I83" s="64"/>
      <c r="J83" s="64"/>
      <c r="K83" s="65" t="n">
        <f aca="false">L83+M83</f>
        <v>0</v>
      </c>
      <c r="L83" s="65"/>
      <c r="M83" s="65"/>
      <c r="N83" s="64"/>
      <c r="O83" s="65" t="n">
        <f aca="false">P83+Q83</f>
        <v>0</v>
      </c>
      <c r="P83" s="65"/>
      <c r="Q83" s="66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17"/>
      <c r="B84" s="18" t="s">
        <v>82</v>
      </c>
      <c r="C84" s="19" t="s">
        <v>20</v>
      </c>
      <c r="D84" s="19"/>
      <c r="E84" s="19" t="s">
        <v>25</v>
      </c>
      <c r="F84" s="22"/>
      <c r="G84" s="21" t="s">
        <v>22</v>
      </c>
      <c r="H84" s="114" t="n">
        <v>9</v>
      </c>
      <c r="I84" s="67" t="n">
        <v>1</v>
      </c>
      <c r="J84" s="67" t="n">
        <v>1</v>
      </c>
      <c r="K84" s="68" t="n">
        <f aca="false">L84+M84</f>
        <v>0</v>
      </c>
      <c r="L84" s="68"/>
      <c r="M84" s="68"/>
      <c r="N84" s="67" t="n">
        <v>1</v>
      </c>
      <c r="O84" s="68" t="n">
        <f aca="false">P84+Q84</f>
        <v>0</v>
      </c>
      <c r="P84" s="68"/>
      <c r="Q84" s="69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17"/>
      <c r="B85" s="18"/>
      <c r="C85" s="18"/>
      <c r="D85" s="18"/>
      <c r="E85" s="18"/>
      <c r="F85" s="26"/>
      <c r="G85" s="27" t="s">
        <v>26</v>
      </c>
      <c r="H85" s="118" t="n">
        <v>1</v>
      </c>
      <c r="I85" s="58"/>
      <c r="J85" s="58"/>
      <c r="K85" s="59" t="n">
        <f aca="false">L85+M85</f>
        <v>0</v>
      </c>
      <c r="L85" s="59"/>
      <c r="M85" s="59"/>
      <c r="N85" s="58" t="n">
        <v>1</v>
      </c>
      <c r="O85" s="59" t="n">
        <f aca="false">P85+Q85</f>
        <v>0</v>
      </c>
      <c r="P85" s="59"/>
      <c r="Q85" s="60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" hidden="false" customHeight="true" outlineLevel="0" collapsed="false">
      <c r="A86" s="17"/>
      <c r="B86" s="18" t="s">
        <v>83</v>
      </c>
      <c r="C86" s="19" t="s">
        <v>20</v>
      </c>
      <c r="D86" s="19"/>
      <c r="E86" s="19" t="s">
        <v>25</v>
      </c>
      <c r="F86" s="20"/>
      <c r="G86" s="21" t="s">
        <v>22</v>
      </c>
      <c r="H86" s="114" t="n">
        <v>1</v>
      </c>
      <c r="I86" s="67" t="n">
        <v>1</v>
      </c>
      <c r="J86" s="67" t="n">
        <v>1</v>
      </c>
      <c r="K86" s="68" t="n">
        <f aca="false">L86+M86</f>
        <v>0</v>
      </c>
      <c r="L86" s="68"/>
      <c r="M86" s="68"/>
      <c r="N86" s="67" t="n">
        <v>1</v>
      </c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17"/>
      <c r="B87" s="18"/>
      <c r="C87" s="18"/>
      <c r="D87" s="18"/>
      <c r="E87" s="18"/>
      <c r="F87" s="26"/>
      <c r="G87" s="27" t="s">
        <v>26</v>
      </c>
      <c r="H87" s="118" t="n">
        <v>1</v>
      </c>
      <c r="I87" s="58"/>
      <c r="J87" s="58"/>
      <c r="K87" s="59" t="n">
        <f aca="false">L87+M87</f>
        <v>0</v>
      </c>
      <c r="L87" s="59"/>
      <c r="M87" s="59"/>
      <c r="N87" s="58"/>
      <c r="O87" s="59" t="n">
        <f aca="false">P87+Q87</f>
        <v>0</v>
      </c>
      <c r="P87" s="59"/>
      <c r="Q87" s="60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33"/>
      <c r="B88" s="34" t="s">
        <v>84</v>
      </c>
      <c r="C88" s="35" t="s">
        <v>20</v>
      </c>
      <c r="D88" s="35"/>
      <c r="E88" s="35" t="s">
        <v>52</v>
      </c>
      <c r="F88" s="36"/>
      <c r="G88" s="21" t="s">
        <v>22</v>
      </c>
      <c r="H88" s="114" t="n">
        <v>6</v>
      </c>
      <c r="I88" s="61"/>
      <c r="J88" s="61"/>
      <c r="K88" s="62" t="n">
        <f aca="false">L88+M88</f>
        <v>0</v>
      </c>
      <c r="L88" s="62"/>
      <c r="M88" s="62"/>
      <c r="N88" s="61" t="n">
        <v>5</v>
      </c>
      <c r="O88" s="62" t="n">
        <f aca="false">P88+Q88</f>
        <v>0</v>
      </c>
      <c r="P88" s="62"/>
      <c r="Q88" s="63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33"/>
      <c r="B89" s="34"/>
      <c r="C89" s="34"/>
      <c r="D89" s="34"/>
      <c r="E89" s="34"/>
      <c r="F89" s="71"/>
      <c r="G89" s="43" t="s">
        <v>26</v>
      </c>
      <c r="H89" s="115"/>
      <c r="I89" s="64"/>
      <c r="J89" s="64"/>
      <c r="K89" s="65" t="n">
        <f aca="false">L89+M89</f>
        <v>0</v>
      </c>
      <c r="L89" s="65"/>
      <c r="M89" s="65"/>
      <c r="N89" s="64"/>
      <c r="O89" s="65" t="n">
        <f aca="false">P89+Q89</f>
        <v>0</v>
      </c>
      <c r="P89" s="65"/>
      <c r="Q89" s="66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" hidden="false" customHeight="true" outlineLevel="0" collapsed="false">
      <c r="A90" s="17"/>
      <c r="B90" s="18" t="s">
        <v>85</v>
      </c>
      <c r="C90" s="19" t="s">
        <v>20</v>
      </c>
      <c r="D90" s="19"/>
      <c r="E90" s="19" t="s">
        <v>25</v>
      </c>
      <c r="F90" s="87"/>
      <c r="G90" s="21" t="s">
        <v>22</v>
      </c>
      <c r="H90" s="116"/>
      <c r="I90" s="67"/>
      <c r="J90" s="67"/>
      <c r="K90" s="68" t="n">
        <f aca="false">L90+M90</f>
        <v>0</v>
      </c>
      <c r="L90" s="68"/>
      <c r="M90" s="68"/>
      <c r="N90" s="67"/>
      <c r="O90" s="68" t="n">
        <f aca="false">P90+Q90</f>
        <v>0</v>
      </c>
      <c r="P90" s="68"/>
      <c r="Q90" s="69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17"/>
      <c r="B91" s="18"/>
      <c r="C91" s="18"/>
      <c r="D91" s="18"/>
      <c r="E91" s="18"/>
      <c r="F91" s="88"/>
      <c r="G91" s="27" t="s">
        <v>26</v>
      </c>
      <c r="H91" s="115"/>
      <c r="I91" s="58"/>
      <c r="J91" s="58"/>
      <c r="K91" s="59" t="n">
        <f aca="false">L91+M91</f>
        <v>0</v>
      </c>
      <c r="L91" s="59"/>
      <c r="M91" s="59"/>
      <c r="N91" s="58"/>
      <c r="O91" s="59" t="n">
        <f aca="false">P91+Q91</f>
        <v>0</v>
      </c>
      <c r="P91" s="59"/>
      <c r="Q91" s="60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.75" hidden="false" customHeight="true" outlineLevel="0" collapsed="false">
      <c r="A92" s="17"/>
      <c r="B92" s="73" t="s">
        <v>86</v>
      </c>
      <c r="C92" s="74" t="s">
        <v>33</v>
      </c>
      <c r="D92" s="74" t="s">
        <v>87</v>
      </c>
      <c r="E92" s="74" t="s">
        <v>88</v>
      </c>
      <c r="F92" s="20"/>
      <c r="G92" s="21" t="s">
        <v>22</v>
      </c>
      <c r="H92" s="119" t="n">
        <v>9</v>
      </c>
      <c r="I92" s="67" t="n">
        <v>2</v>
      </c>
      <c r="J92" s="67" t="n">
        <v>3</v>
      </c>
      <c r="K92" s="68" t="n">
        <f aca="false">L92+M92</f>
        <v>0</v>
      </c>
      <c r="L92" s="68"/>
      <c r="M92" s="68"/>
      <c r="N92" s="67" t="n">
        <v>4</v>
      </c>
      <c r="O92" s="68" t="n">
        <f aca="false">P92+Q92</f>
        <v>0</v>
      </c>
      <c r="P92" s="68"/>
      <c r="Q92" s="69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17"/>
      <c r="B93" s="73"/>
      <c r="C93" s="73"/>
      <c r="D93" s="73"/>
      <c r="E93" s="73"/>
      <c r="F93" s="42"/>
      <c r="G93" s="43" t="s">
        <v>23</v>
      </c>
      <c r="H93" s="117" t="n">
        <v>6</v>
      </c>
      <c r="I93" s="64" t="n">
        <v>3</v>
      </c>
      <c r="J93" s="64" t="n">
        <v>3</v>
      </c>
      <c r="K93" s="65" t="n">
        <f aca="false">L93+M93</f>
        <v>0</v>
      </c>
      <c r="L93" s="65"/>
      <c r="M93" s="65"/>
      <c r="N93" s="64"/>
      <c r="O93" s="65" t="n">
        <f aca="false">P93+Q93</f>
        <v>0</v>
      </c>
      <c r="P93" s="65"/>
      <c r="Q93" s="66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" hidden="false" customHeight="true" outlineLevel="0" collapsed="false">
      <c r="A94" s="17"/>
      <c r="B94" s="18" t="s">
        <v>89</v>
      </c>
      <c r="C94" s="19" t="s">
        <v>20</v>
      </c>
      <c r="D94" s="19" t="s">
        <v>90</v>
      </c>
      <c r="E94" s="19" t="s">
        <v>42</v>
      </c>
      <c r="F94" s="20"/>
      <c r="G94" s="21" t="s">
        <v>22</v>
      </c>
      <c r="H94" s="114" t="n">
        <v>12</v>
      </c>
      <c r="I94" s="67" t="n">
        <v>2</v>
      </c>
      <c r="J94" s="67" t="n">
        <v>2</v>
      </c>
      <c r="K94" s="68" t="n">
        <f aca="false">L94+M94</f>
        <v>0</v>
      </c>
      <c r="L94" s="68"/>
      <c r="M94" s="68"/>
      <c r="N94" s="67" t="n">
        <v>3</v>
      </c>
      <c r="O94" s="68" t="n">
        <f aca="false">P94+Q94</f>
        <v>0</v>
      </c>
      <c r="P94" s="68"/>
      <c r="Q94" s="69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.75" hidden="false" customHeight="true" outlineLevel="0" collapsed="false">
      <c r="A95" s="17"/>
      <c r="B95" s="18"/>
      <c r="C95" s="18"/>
      <c r="D95" s="18"/>
      <c r="E95" s="18"/>
      <c r="F95" s="26"/>
      <c r="G95" s="27" t="s">
        <v>23</v>
      </c>
      <c r="H95" s="115"/>
      <c r="I95" s="58"/>
      <c r="J95" s="58"/>
      <c r="K95" s="59" t="n">
        <f aca="false">L95+M95</f>
        <v>0</v>
      </c>
      <c r="L95" s="59"/>
      <c r="M95" s="59"/>
      <c r="N95" s="58"/>
      <c r="O95" s="59" t="n">
        <f aca="false">P95+Q95</f>
        <v>0</v>
      </c>
      <c r="P95" s="59"/>
      <c r="Q95" s="60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33"/>
      <c r="B96" s="34" t="s">
        <v>91</v>
      </c>
      <c r="C96" s="35" t="s">
        <v>33</v>
      </c>
      <c r="D96" s="35" t="s">
        <v>92</v>
      </c>
      <c r="E96" s="35" t="s">
        <v>25</v>
      </c>
      <c r="F96" s="36"/>
      <c r="G96" s="21" t="s">
        <v>22</v>
      </c>
      <c r="H96" s="114" t="n">
        <v>6</v>
      </c>
      <c r="I96" s="61"/>
      <c r="J96" s="61"/>
      <c r="K96" s="62" t="n">
        <f aca="false">L96+M96</f>
        <v>0</v>
      </c>
      <c r="L96" s="62"/>
      <c r="M96" s="62"/>
      <c r="N96" s="61" t="n">
        <v>1</v>
      </c>
      <c r="O96" s="62" t="n">
        <f aca="false">P96+Q96</f>
        <v>0</v>
      </c>
      <c r="P96" s="62"/>
      <c r="Q96" s="63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33"/>
      <c r="B97" s="34"/>
      <c r="C97" s="34"/>
      <c r="D97" s="34"/>
      <c r="E97" s="34"/>
      <c r="F97" s="89"/>
      <c r="G97" s="90" t="s">
        <v>23</v>
      </c>
      <c r="H97" s="116"/>
      <c r="I97" s="91"/>
      <c r="J97" s="91"/>
      <c r="K97" s="92" t="n">
        <f aca="false">L97+M97</f>
        <v>0</v>
      </c>
      <c r="L97" s="92"/>
      <c r="M97" s="92"/>
      <c r="N97" s="91"/>
      <c r="O97" s="92" t="n">
        <f aca="false">P97+Q97</f>
        <v>0</v>
      </c>
      <c r="P97" s="92"/>
      <c r="Q97" s="93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.75" hidden="false" customHeight="true" outlineLevel="0" collapsed="false">
      <c r="A98" s="33"/>
      <c r="B98" s="34"/>
      <c r="C98" s="34"/>
      <c r="D98" s="34"/>
      <c r="E98" s="34"/>
      <c r="F98" s="42"/>
      <c r="G98" s="43" t="s">
        <v>26</v>
      </c>
      <c r="H98" s="117" t="n">
        <v>4</v>
      </c>
      <c r="I98" s="64" t="n">
        <v>1</v>
      </c>
      <c r="J98" s="64" t="n">
        <v>1</v>
      </c>
      <c r="K98" s="65" t="n">
        <f aca="false">L98+M98</f>
        <v>0</v>
      </c>
      <c r="L98" s="65"/>
      <c r="M98" s="65"/>
      <c r="N98" s="64" t="n">
        <v>2</v>
      </c>
      <c r="O98" s="65" t="n">
        <f aca="false">P98+Q98</f>
        <v>0</v>
      </c>
      <c r="P98" s="65"/>
      <c r="Q98" s="66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17"/>
      <c r="B99" s="18" t="s">
        <v>93</v>
      </c>
      <c r="C99" s="19" t="s">
        <v>20</v>
      </c>
      <c r="D99" s="49"/>
      <c r="E99" s="19" t="s">
        <v>50</v>
      </c>
      <c r="F99" s="87"/>
      <c r="G99" s="21" t="s">
        <v>22</v>
      </c>
      <c r="H99" s="119" t="n">
        <v>1</v>
      </c>
      <c r="I99" s="67"/>
      <c r="J99" s="67"/>
      <c r="K99" s="68" t="n">
        <f aca="false">L99+M99</f>
        <v>0</v>
      </c>
      <c r="L99" s="68"/>
      <c r="M99" s="68"/>
      <c r="N99" s="67"/>
      <c r="O99" s="68" t="n">
        <f aca="false">P99+Q99</f>
        <v>0</v>
      </c>
      <c r="P99" s="68"/>
      <c r="Q99" s="69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17"/>
      <c r="B100" s="18"/>
      <c r="C100" s="18"/>
      <c r="D100" s="18"/>
      <c r="E100" s="18"/>
      <c r="F100" s="88"/>
      <c r="G100" s="27" t="s">
        <v>26</v>
      </c>
      <c r="H100" s="117" t="n">
        <v>4</v>
      </c>
      <c r="I100" s="58"/>
      <c r="J100" s="58"/>
      <c r="K100" s="59" t="n">
        <f aca="false">L100+M100</f>
        <v>0</v>
      </c>
      <c r="L100" s="59"/>
      <c r="M100" s="59"/>
      <c r="N100" s="58"/>
      <c r="O100" s="59" t="n">
        <f aca="false">P100+Q100</f>
        <v>0</v>
      </c>
      <c r="P100" s="59"/>
      <c r="Q100" s="60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" hidden="false" customHeight="true" outlineLevel="0" collapsed="false">
      <c r="A101" s="54"/>
      <c r="B101" s="55" t="s">
        <v>94</v>
      </c>
      <c r="C101" s="56" t="s">
        <v>20</v>
      </c>
      <c r="D101" s="56"/>
      <c r="E101" s="56" t="s">
        <v>52</v>
      </c>
      <c r="F101" s="36"/>
      <c r="G101" s="37" t="s">
        <v>22</v>
      </c>
      <c r="H101" s="114" t="n">
        <v>5</v>
      </c>
      <c r="I101" s="61" t="n">
        <v>3</v>
      </c>
      <c r="J101" s="61" t="n">
        <v>3</v>
      </c>
      <c r="K101" s="62" t="n">
        <f aca="false">L101+M101</f>
        <v>0</v>
      </c>
      <c r="L101" s="62"/>
      <c r="M101" s="62"/>
      <c r="N101" s="61" t="n">
        <v>2</v>
      </c>
      <c r="O101" s="62" t="n">
        <f aca="false">P101+Q101</f>
        <v>0</v>
      </c>
      <c r="P101" s="62"/>
      <c r="Q101" s="63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54"/>
      <c r="B102" s="55"/>
      <c r="C102" s="55"/>
      <c r="D102" s="55"/>
      <c r="E102" s="55"/>
      <c r="F102" s="42"/>
      <c r="G102" s="43" t="s">
        <v>26</v>
      </c>
      <c r="H102" s="117" t="n">
        <v>5</v>
      </c>
      <c r="I102" s="58"/>
      <c r="J102" s="58"/>
      <c r="K102" s="59" t="n">
        <f aca="false">L102+M102</f>
        <v>0</v>
      </c>
      <c r="L102" s="59"/>
      <c r="M102" s="59"/>
      <c r="N102" s="58" t="n">
        <v>1</v>
      </c>
      <c r="O102" s="59" t="n">
        <f aca="false">P102+Q102</f>
        <v>0</v>
      </c>
      <c r="P102" s="59"/>
      <c r="Q102" s="60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33"/>
      <c r="B103" s="34" t="s">
        <v>95</v>
      </c>
      <c r="C103" s="35" t="s">
        <v>33</v>
      </c>
      <c r="D103" s="35" t="s">
        <v>96</v>
      </c>
      <c r="E103" s="35" t="s">
        <v>88</v>
      </c>
      <c r="F103" s="22"/>
      <c r="G103" s="21" t="s">
        <v>22</v>
      </c>
      <c r="H103" s="114" t="n">
        <v>11</v>
      </c>
      <c r="I103" s="61" t="n">
        <v>4</v>
      </c>
      <c r="J103" s="38" t="n">
        <v>4</v>
      </c>
      <c r="K103" s="62" t="n">
        <f aca="false">L103+M103</f>
        <v>0</v>
      </c>
      <c r="L103" s="62"/>
      <c r="M103" s="62"/>
      <c r="N103" s="61"/>
      <c r="O103" s="62" t="n">
        <f aca="false">P103+Q103</f>
        <v>0</v>
      </c>
      <c r="P103" s="62"/>
      <c r="Q103" s="63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33"/>
      <c r="B104" s="34"/>
      <c r="C104" s="34"/>
      <c r="D104" s="34"/>
      <c r="E104" s="34"/>
      <c r="F104" s="42"/>
      <c r="G104" s="43" t="s">
        <v>23</v>
      </c>
      <c r="H104" s="117" t="n">
        <v>5</v>
      </c>
      <c r="I104" s="64"/>
      <c r="J104" s="64"/>
      <c r="K104" s="65" t="n">
        <f aca="false">L104+M104</f>
        <v>0</v>
      </c>
      <c r="L104" s="65"/>
      <c r="M104" s="65"/>
      <c r="N104" s="64"/>
      <c r="O104" s="65" t="n">
        <f aca="false">P104+Q104</f>
        <v>0</v>
      </c>
      <c r="P104" s="65"/>
      <c r="Q104" s="66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72"/>
      <c r="B105" s="73" t="s">
        <v>97</v>
      </c>
      <c r="C105" s="74" t="s">
        <v>20</v>
      </c>
      <c r="D105" s="74"/>
      <c r="E105" s="74" t="s">
        <v>98</v>
      </c>
      <c r="F105" s="20"/>
      <c r="G105" s="21" t="s">
        <v>22</v>
      </c>
      <c r="H105" s="114" t="n">
        <v>2</v>
      </c>
      <c r="I105" s="67" t="n">
        <v>1</v>
      </c>
      <c r="J105" s="67" t="n">
        <v>1</v>
      </c>
      <c r="K105" s="68" t="n">
        <f aca="false">L105+M105</f>
        <v>0</v>
      </c>
      <c r="L105" s="68"/>
      <c r="M105" s="68"/>
      <c r="N105" s="67" t="n">
        <v>1</v>
      </c>
      <c r="O105" s="68" t="n">
        <f aca="false">P105+Q105</f>
        <v>0</v>
      </c>
      <c r="P105" s="68"/>
      <c r="Q105" s="69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.75" hidden="false" customHeight="true" outlineLevel="0" collapsed="false">
      <c r="A106" s="72"/>
      <c r="B106" s="73"/>
      <c r="C106" s="73"/>
      <c r="D106" s="73"/>
      <c r="E106" s="73"/>
      <c r="F106" s="42"/>
      <c r="G106" s="43" t="s">
        <v>23</v>
      </c>
      <c r="H106" s="126" t="n">
        <v>3</v>
      </c>
      <c r="I106" s="64" t="n">
        <v>6</v>
      </c>
      <c r="J106" s="64" t="n">
        <v>6</v>
      </c>
      <c r="K106" s="65" t="n">
        <f aca="false">L106+M106</f>
        <v>0</v>
      </c>
      <c r="L106" s="65"/>
      <c r="M106" s="65"/>
      <c r="N106" s="64" t="n">
        <v>2</v>
      </c>
      <c r="O106" s="65" t="n">
        <f aca="false">P106+Q106</f>
        <v>0</v>
      </c>
      <c r="P106" s="65"/>
      <c r="Q106" s="66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17"/>
      <c r="B107" s="18" t="s">
        <v>156</v>
      </c>
      <c r="C107" s="19"/>
      <c r="D107" s="19"/>
      <c r="E107" s="19"/>
      <c r="F107" s="20"/>
      <c r="G107" s="21" t="s">
        <v>22</v>
      </c>
      <c r="H107" s="125" t="n">
        <v>2</v>
      </c>
      <c r="I107" s="67"/>
      <c r="J107" s="67"/>
      <c r="K107" s="68" t="n">
        <f aca="false">L107+M107</f>
        <v>0</v>
      </c>
      <c r="L107" s="68"/>
      <c r="M107" s="68"/>
      <c r="N107" s="67"/>
      <c r="O107" s="68" t="n">
        <f aca="false">P107+Q107</f>
        <v>0</v>
      </c>
      <c r="P107" s="68"/>
      <c r="Q107" s="69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.75" hidden="false" customHeight="true" outlineLevel="0" collapsed="false">
      <c r="A108" s="17"/>
      <c r="B108" s="18"/>
      <c r="C108" s="18"/>
      <c r="D108" s="18"/>
      <c r="E108" s="18"/>
      <c r="F108" s="97"/>
      <c r="G108" s="90" t="s">
        <v>26</v>
      </c>
      <c r="H108" s="126"/>
      <c r="I108" s="91"/>
      <c r="J108" s="91"/>
      <c r="K108" s="92" t="n">
        <f aca="false">L108+M108</f>
        <v>0</v>
      </c>
      <c r="L108" s="92"/>
      <c r="M108" s="92"/>
      <c r="N108" s="91"/>
      <c r="O108" s="92" t="n">
        <f aca="false">P108+Q108</f>
        <v>0</v>
      </c>
      <c r="P108" s="92"/>
      <c r="Q108" s="93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17"/>
      <c r="B109" s="18"/>
      <c r="C109" s="18"/>
      <c r="D109" s="18"/>
      <c r="E109" s="18"/>
      <c r="F109" s="57"/>
      <c r="G109" s="27" t="s">
        <v>23</v>
      </c>
      <c r="H109" s="86"/>
      <c r="I109" s="58"/>
      <c r="J109" s="58"/>
      <c r="K109" s="59" t="n">
        <f aca="false">L109+M109</f>
        <v>0</v>
      </c>
      <c r="L109" s="59"/>
      <c r="M109" s="59"/>
      <c r="N109" s="58"/>
      <c r="O109" s="59" t="n">
        <f aca="false">P109+Q109</f>
        <v>0</v>
      </c>
      <c r="P109" s="59"/>
      <c r="Q109" s="60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54"/>
      <c r="B110" s="55" t="s">
        <v>99</v>
      </c>
      <c r="C110" s="56" t="s">
        <v>33</v>
      </c>
      <c r="D110" s="56" t="s">
        <v>100</v>
      </c>
      <c r="E110" s="56" t="s">
        <v>101</v>
      </c>
      <c r="F110" s="36"/>
      <c r="G110" s="37" t="s">
        <v>22</v>
      </c>
      <c r="H110" s="114" t="n">
        <v>8</v>
      </c>
      <c r="I110" s="61" t="n">
        <v>8</v>
      </c>
      <c r="J110" s="61" t="n">
        <v>11</v>
      </c>
      <c r="K110" s="62" t="n">
        <f aca="false">L110+M110</f>
        <v>0</v>
      </c>
      <c r="L110" s="62"/>
      <c r="M110" s="62"/>
      <c r="N110" s="61" t="n">
        <v>6</v>
      </c>
      <c r="O110" s="62" t="n">
        <f aca="false">P110+Q110</f>
        <v>0</v>
      </c>
      <c r="P110" s="62"/>
      <c r="Q110" s="63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54"/>
      <c r="B111" s="55"/>
      <c r="C111" s="55"/>
      <c r="D111" s="55"/>
      <c r="E111" s="55"/>
      <c r="F111" s="80"/>
      <c r="G111" s="81" t="s">
        <v>26</v>
      </c>
      <c r="H111" s="119" t="n">
        <v>3</v>
      </c>
      <c r="I111" s="82"/>
      <c r="J111" s="82"/>
      <c r="K111" s="83" t="n">
        <f aca="false">L111+M111</f>
        <v>0</v>
      </c>
      <c r="L111" s="83"/>
      <c r="M111" s="83"/>
      <c r="N111" s="82" t="n">
        <v>2</v>
      </c>
      <c r="O111" s="83" t="n">
        <f aca="false">P111+Q111</f>
        <v>0</v>
      </c>
      <c r="P111" s="83"/>
      <c r="Q111" s="84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54"/>
      <c r="B112" s="55"/>
      <c r="C112" s="55"/>
      <c r="D112" s="55"/>
      <c r="E112" s="55"/>
      <c r="F112" s="26"/>
      <c r="G112" s="27" t="s">
        <v>23</v>
      </c>
      <c r="H112" s="115"/>
      <c r="I112" s="58"/>
      <c r="J112" s="58"/>
      <c r="K112" s="59" t="n">
        <f aca="false">L112+M112</f>
        <v>0</v>
      </c>
      <c r="L112" s="59"/>
      <c r="M112" s="59"/>
      <c r="N112" s="58"/>
      <c r="O112" s="59" t="n">
        <f aca="false">P112+Q112</f>
        <v>0</v>
      </c>
      <c r="P112" s="59"/>
      <c r="Q112" s="60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33"/>
      <c r="B113" s="34" t="s">
        <v>102</v>
      </c>
      <c r="C113" s="35" t="s">
        <v>20</v>
      </c>
      <c r="D113" s="35"/>
      <c r="E113" s="35" t="s">
        <v>25</v>
      </c>
      <c r="F113" s="36"/>
      <c r="G113" s="21" t="s">
        <v>22</v>
      </c>
      <c r="H113" s="119" t="n">
        <v>6</v>
      </c>
      <c r="I113" s="61" t="n">
        <v>2</v>
      </c>
      <c r="J113" s="61" t="n">
        <v>2</v>
      </c>
      <c r="K113" s="62" t="n">
        <f aca="false">L113+M113</f>
        <v>0</v>
      </c>
      <c r="L113" s="62"/>
      <c r="M113" s="62"/>
      <c r="N113" s="61" t="n">
        <v>2</v>
      </c>
      <c r="O113" s="62" t="n">
        <f aca="false">P113+Q113</f>
        <v>0</v>
      </c>
      <c r="P113" s="62"/>
      <c r="Q113" s="63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33"/>
      <c r="B114" s="34"/>
      <c r="C114" s="34"/>
      <c r="D114" s="34"/>
      <c r="E114" s="34"/>
      <c r="F114" s="42"/>
      <c r="G114" s="43" t="s">
        <v>26</v>
      </c>
      <c r="H114" s="118" t="n">
        <v>2</v>
      </c>
      <c r="I114" s="64"/>
      <c r="J114" s="64"/>
      <c r="K114" s="65" t="n">
        <f aca="false">L114+M114</f>
        <v>0</v>
      </c>
      <c r="L114" s="65"/>
      <c r="M114" s="65"/>
      <c r="N114" s="64"/>
      <c r="O114" s="65" t="n">
        <f aca="false">P114+Q114</f>
        <v>0</v>
      </c>
      <c r="P114" s="65"/>
      <c r="Q114" s="66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" hidden="false" customHeight="true" outlineLevel="0" collapsed="false">
      <c r="A115" s="17"/>
      <c r="B115" s="18" t="s">
        <v>103</v>
      </c>
      <c r="C115" s="19" t="s">
        <v>20</v>
      </c>
      <c r="D115" s="19"/>
      <c r="E115" s="19" t="s">
        <v>52</v>
      </c>
      <c r="F115" s="20"/>
      <c r="G115" s="21" t="s">
        <v>22</v>
      </c>
      <c r="H115" s="116"/>
      <c r="I115" s="67"/>
      <c r="J115" s="67"/>
      <c r="K115" s="68" t="n">
        <f aca="false">L115+M115</f>
        <v>0</v>
      </c>
      <c r="L115" s="68"/>
      <c r="M115" s="68"/>
      <c r="N115" s="67" t="n">
        <v>2</v>
      </c>
      <c r="O115" s="68" t="n">
        <f aca="false">P115+Q115</f>
        <v>0</v>
      </c>
      <c r="P115" s="68"/>
      <c r="Q115" s="69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17"/>
      <c r="B116" s="18"/>
      <c r="C116" s="18"/>
      <c r="D116" s="18"/>
      <c r="E116" s="18"/>
      <c r="F116" s="26"/>
      <c r="G116" s="27" t="s">
        <v>26</v>
      </c>
      <c r="H116" s="117" t="n">
        <v>5</v>
      </c>
      <c r="I116" s="58"/>
      <c r="J116" s="58"/>
      <c r="K116" s="59" t="n">
        <f aca="false">L116+M116</f>
        <v>0</v>
      </c>
      <c r="L116" s="59"/>
      <c r="M116" s="59"/>
      <c r="N116" s="58" t="n">
        <v>1</v>
      </c>
      <c r="O116" s="59" t="n">
        <f aca="false">P116+Q116</f>
        <v>0</v>
      </c>
      <c r="P116" s="59"/>
      <c r="Q116" s="60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" hidden="false" customHeight="true" outlineLevel="0" collapsed="false">
      <c r="A117" s="54"/>
      <c r="B117" s="55" t="s">
        <v>104</v>
      </c>
      <c r="C117" s="56" t="s">
        <v>20</v>
      </c>
      <c r="D117" s="56"/>
      <c r="E117" s="56" t="s">
        <v>25</v>
      </c>
      <c r="F117" s="22"/>
      <c r="G117" s="21" t="s">
        <v>22</v>
      </c>
      <c r="H117" s="116"/>
      <c r="I117" s="61"/>
      <c r="J117" s="61"/>
      <c r="K117" s="62" t="n">
        <f aca="false">L117+M117</f>
        <v>0</v>
      </c>
      <c r="L117" s="62"/>
      <c r="M117" s="62"/>
      <c r="N117" s="61"/>
      <c r="O117" s="62" t="n">
        <f aca="false">P117+Q117</f>
        <v>0</v>
      </c>
      <c r="P117" s="62"/>
      <c r="Q117" s="63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.75" hidden="false" customHeight="true" outlineLevel="0" collapsed="false">
      <c r="A118" s="54"/>
      <c r="B118" s="55"/>
      <c r="C118" s="55"/>
      <c r="D118" s="55"/>
      <c r="E118" s="55"/>
      <c r="F118" s="57"/>
      <c r="G118" s="27" t="s">
        <v>26</v>
      </c>
      <c r="H118" s="115"/>
      <c r="I118" s="58"/>
      <c r="J118" s="58"/>
      <c r="K118" s="59" t="n">
        <f aca="false">L118+M118</f>
        <v>0</v>
      </c>
      <c r="L118" s="59"/>
      <c r="M118" s="59"/>
      <c r="N118" s="58"/>
      <c r="O118" s="59" t="n">
        <f aca="false">P118+Q118</f>
        <v>0</v>
      </c>
      <c r="P118" s="59"/>
      <c r="Q118" s="60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33"/>
      <c r="B119" s="34" t="s">
        <v>105</v>
      </c>
      <c r="C119" s="35" t="s">
        <v>33</v>
      </c>
      <c r="D119" s="35" t="s">
        <v>106</v>
      </c>
      <c r="E119" s="35" t="s">
        <v>107</v>
      </c>
      <c r="F119" s="36"/>
      <c r="G119" s="21" t="s">
        <v>22</v>
      </c>
      <c r="H119" s="116"/>
      <c r="I119" s="61"/>
      <c r="J119" s="61"/>
      <c r="K119" s="62" t="n">
        <f aca="false">L119+M119</f>
        <v>0</v>
      </c>
      <c r="L119" s="62"/>
      <c r="M119" s="62"/>
      <c r="N119" s="61" t="n">
        <v>5</v>
      </c>
      <c r="O119" s="62" t="n">
        <f aca="false">P119+Q119</f>
        <v>0</v>
      </c>
      <c r="P119" s="62"/>
      <c r="Q119" s="63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/>
      <c r="G120" s="43" t="s">
        <v>26</v>
      </c>
      <c r="H120" s="115"/>
      <c r="I120" s="64"/>
      <c r="J120" s="64"/>
      <c r="K120" s="65" t="n">
        <f aca="false">L120+M120</f>
        <v>0</v>
      </c>
      <c r="L120" s="65"/>
      <c r="M120" s="65"/>
      <c r="N120" s="64" t="n">
        <v>6</v>
      </c>
      <c r="O120" s="65" t="n">
        <f aca="false">P120+Q120</f>
        <v>0</v>
      </c>
      <c r="P120" s="65"/>
      <c r="Q120" s="66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72"/>
      <c r="B121" s="73" t="s">
        <v>108</v>
      </c>
      <c r="C121" s="74" t="s">
        <v>33</v>
      </c>
      <c r="D121" s="74" t="s">
        <v>109</v>
      </c>
      <c r="E121" s="74" t="s">
        <v>25</v>
      </c>
      <c r="F121" s="20"/>
      <c r="G121" s="21" t="s">
        <v>22</v>
      </c>
      <c r="H121" s="114" t="n">
        <v>4</v>
      </c>
      <c r="I121" s="67" t="n">
        <v>3</v>
      </c>
      <c r="J121" s="67" t="n">
        <v>3</v>
      </c>
      <c r="K121" s="68" t="n">
        <f aca="false">L121+M121</f>
        <v>0</v>
      </c>
      <c r="L121" s="68"/>
      <c r="M121" s="68"/>
      <c r="N121" s="67" t="n">
        <v>7</v>
      </c>
      <c r="O121" s="68" t="n">
        <f aca="false">P121+Q121</f>
        <v>0</v>
      </c>
      <c r="P121" s="68"/>
      <c r="Q121" s="69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72"/>
      <c r="B122" s="73"/>
      <c r="C122" s="73"/>
      <c r="D122" s="73"/>
      <c r="E122" s="73"/>
      <c r="F122" s="42"/>
      <c r="G122" s="43" t="s">
        <v>26</v>
      </c>
      <c r="H122" s="117" t="n">
        <v>2</v>
      </c>
      <c r="I122" s="64"/>
      <c r="J122" s="64"/>
      <c r="K122" s="65" t="n">
        <f aca="false">L122+M122</f>
        <v>0</v>
      </c>
      <c r="L122" s="65"/>
      <c r="M122" s="65"/>
      <c r="N122" s="64" t="n">
        <v>2</v>
      </c>
      <c r="O122" s="65" t="n">
        <f aca="false">P122+Q122</f>
        <v>0</v>
      </c>
      <c r="P122" s="65"/>
      <c r="Q122" s="66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17"/>
      <c r="B123" s="18" t="s">
        <v>110</v>
      </c>
      <c r="C123" s="19" t="s">
        <v>33</v>
      </c>
      <c r="D123" s="19" t="s">
        <v>111</v>
      </c>
      <c r="E123" s="19" t="s">
        <v>25</v>
      </c>
      <c r="F123" s="20"/>
      <c r="G123" s="21" t="s">
        <v>22</v>
      </c>
      <c r="H123" s="114" t="n">
        <v>16</v>
      </c>
      <c r="I123" s="67" t="n">
        <v>7</v>
      </c>
      <c r="J123" s="22" t="n">
        <v>7</v>
      </c>
      <c r="K123" s="68" t="n">
        <f aca="false">L123+M123</f>
        <v>0</v>
      </c>
      <c r="L123" s="68"/>
      <c r="M123" s="68"/>
      <c r="N123" s="67" t="n">
        <v>6</v>
      </c>
      <c r="O123" s="68" t="n">
        <f aca="false">P123+Q123</f>
        <v>0</v>
      </c>
      <c r="P123" s="68"/>
      <c r="Q123" s="69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.75" hidden="false" customHeight="true" outlineLevel="0" collapsed="false">
      <c r="A124" s="17"/>
      <c r="B124" s="18"/>
      <c r="C124" s="18"/>
      <c r="D124" s="18"/>
      <c r="E124" s="18"/>
      <c r="F124" s="57"/>
      <c r="G124" s="27" t="s">
        <v>26</v>
      </c>
      <c r="H124" s="115"/>
      <c r="I124" s="58"/>
      <c r="J124" s="58"/>
      <c r="K124" s="59" t="n">
        <f aca="false">L124+M124</f>
        <v>0</v>
      </c>
      <c r="L124" s="59"/>
      <c r="M124" s="59"/>
      <c r="N124" s="58" t="n">
        <v>2</v>
      </c>
      <c r="O124" s="59" t="n">
        <f aca="false">P124+Q124</f>
        <v>0</v>
      </c>
      <c r="P124" s="59"/>
      <c r="Q124" s="60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.75" hidden="false" customHeight="true" outlineLevel="0" collapsed="false">
      <c r="A125" s="33"/>
      <c r="B125" s="34" t="s">
        <v>112</v>
      </c>
      <c r="C125" s="35" t="s">
        <v>20</v>
      </c>
      <c r="D125" s="35"/>
      <c r="E125" s="35" t="s">
        <v>25</v>
      </c>
      <c r="F125" s="36"/>
      <c r="G125" s="21" t="s">
        <v>22</v>
      </c>
      <c r="H125" s="114" t="n">
        <v>4</v>
      </c>
      <c r="I125" s="61" t="n">
        <v>4</v>
      </c>
      <c r="J125" s="61" t="n">
        <v>5</v>
      </c>
      <c r="K125" s="94" t="n">
        <f aca="false">L125+M125</f>
        <v>0</v>
      </c>
      <c r="L125" s="94"/>
      <c r="M125" s="62"/>
      <c r="N125" s="61"/>
      <c r="O125" s="62" t="n">
        <f aca="false">P125+Q125</f>
        <v>0</v>
      </c>
      <c r="P125" s="62"/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26"/>
      <c r="G126" s="27" t="s">
        <v>26</v>
      </c>
      <c r="H126" s="117" t="n">
        <v>1</v>
      </c>
      <c r="I126" s="64"/>
      <c r="J126" s="64"/>
      <c r="K126" s="65" t="n">
        <f aca="false">L126+M126</f>
        <v>0</v>
      </c>
      <c r="L126" s="65"/>
      <c r="M126" s="65"/>
      <c r="N126" s="64" t="n">
        <v>1</v>
      </c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" hidden="false" customHeight="true" outlineLevel="0" collapsed="false">
      <c r="A127" s="17"/>
      <c r="B127" s="18" t="s">
        <v>113</v>
      </c>
      <c r="C127" s="19" t="s">
        <v>20</v>
      </c>
      <c r="D127" s="19"/>
      <c r="E127" s="19" t="s">
        <v>31</v>
      </c>
      <c r="F127" s="36"/>
      <c r="G127" s="21" t="s">
        <v>22</v>
      </c>
      <c r="H127" s="114" t="n">
        <v>3</v>
      </c>
      <c r="I127" s="67" t="n">
        <v>3</v>
      </c>
      <c r="J127" s="67" t="n">
        <v>3</v>
      </c>
      <c r="K127" s="68" t="n">
        <f aca="false">L127+M127</f>
        <v>0</v>
      </c>
      <c r="L127" s="68"/>
      <c r="M127" s="68"/>
      <c r="N127" s="67" t="n">
        <v>1</v>
      </c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17"/>
      <c r="B128" s="18"/>
      <c r="C128" s="18"/>
      <c r="D128" s="18"/>
      <c r="E128" s="18"/>
      <c r="F128" s="57"/>
      <c r="G128" s="27" t="s">
        <v>26</v>
      </c>
      <c r="H128" s="115"/>
      <c r="I128" s="58"/>
      <c r="J128" s="58"/>
      <c r="K128" s="59" t="n">
        <f aca="false">L128+M128</f>
        <v>0</v>
      </c>
      <c r="L128" s="59"/>
      <c r="M128" s="59"/>
      <c r="N128" s="58"/>
      <c r="O128" s="59" t="n">
        <f aca="false">P128+Q128</f>
        <v>0</v>
      </c>
      <c r="P128" s="59"/>
      <c r="Q128" s="60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33"/>
      <c r="B129" s="34" t="s">
        <v>114</v>
      </c>
      <c r="C129" s="35" t="s">
        <v>20</v>
      </c>
      <c r="D129" s="95"/>
      <c r="E129" s="35" t="s">
        <v>25</v>
      </c>
      <c r="F129" s="71"/>
      <c r="G129" s="21" t="s">
        <v>22</v>
      </c>
      <c r="H129" s="116"/>
      <c r="I129" s="61"/>
      <c r="J129" s="61"/>
      <c r="K129" s="62" t="n">
        <f aca="false">L129+M129</f>
        <v>0</v>
      </c>
      <c r="L129" s="62"/>
      <c r="M129" s="62"/>
      <c r="N129" s="61"/>
      <c r="O129" s="62" t="n">
        <f aca="false">P129+Q129</f>
        <v>0</v>
      </c>
      <c r="P129" s="62"/>
      <c r="Q129" s="63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33"/>
      <c r="B130" s="34"/>
      <c r="C130" s="34"/>
      <c r="D130" s="34"/>
      <c r="E130" s="34"/>
      <c r="F130" s="42"/>
      <c r="G130" s="43" t="s">
        <v>26</v>
      </c>
      <c r="H130" s="118" t="n">
        <v>2</v>
      </c>
      <c r="I130" s="64"/>
      <c r="J130" s="64"/>
      <c r="K130" s="65" t="n">
        <f aca="false">L130+M130</f>
        <v>0</v>
      </c>
      <c r="L130" s="65"/>
      <c r="M130" s="65"/>
      <c r="N130" s="64"/>
      <c r="O130" s="65" t="n">
        <f aca="false">P130+Q130</f>
        <v>0</v>
      </c>
      <c r="P130" s="65"/>
      <c r="Q130" s="66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.75" hidden="false" customHeight="true" outlineLevel="0" collapsed="false">
      <c r="A131" s="17"/>
      <c r="B131" s="18" t="s">
        <v>115</v>
      </c>
      <c r="C131" s="19" t="s">
        <v>20</v>
      </c>
      <c r="D131" s="19"/>
      <c r="E131" s="19" t="s">
        <v>116</v>
      </c>
      <c r="F131" s="20"/>
      <c r="G131" s="21" t="s">
        <v>22</v>
      </c>
      <c r="H131" s="114" t="n">
        <v>4</v>
      </c>
      <c r="I131" s="67" t="n">
        <v>1</v>
      </c>
      <c r="J131" s="67" t="n">
        <v>1</v>
      </c>
      <c r="K131" s="68" t="n">
        <f aca="false">L131+M131</f>
        <v>0</v>
      </c>
      <c r="L131" s="68"/>
      <c r="M131" s="68"/>
      <c r="N131" s="67" t="n">
        <v>3</v>
      </c>
      <c r="O131" s="68" t="n">
        <f aca="false">P131+Q131</f>
        <v>0</v>
      </c>
      <c r="P131" s="68"/>
      <c r="Q131" s="69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17"/>
      <c r="B132" s="18"/>
      <c r="C132" s="18"/>
      <c r="D132" s="18"/>
      <c r="E132" s="18"/>
      <c r="F132" s="42"/>
      <c r="G132" s="43" t="s">
        <v>26</v>
      </c>
      <c r="H132" s="126" t="n">
        <v>5</v>
      </c>
      <c r="I132" s="64"/>
      <c r="J132" s="64"/>
      <c r="K132" s="65" t="n">
        <f aca="false">L132+M132</f>
        <v>0</v>
      </c>
      <c r="L132" s="65"/>
      <c r="M132" s="65"/>
      <c r="N132" s="64" t="n">
        <v>2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157</v>
      </c>
      <c r="C133" s="127"/>
      <c r="D133" s="127"/>
      <c r="E133" s="127"/>
      <c r="F133" s="22"/>
      <c r="G133" s="21" t="s">
        <v>22</v>
      </c>
      <c r="H133" s="112" t="n">
        <v>1</v>
      </c>
      <c r="I133" s="67"/>
      <c r="J133" s="67"/>
      <c r="K133" s="68" t="n">
        <f aca="false">L133+M133</f>
        <v>0</v>
      </c>
      <c r="L133" s="68"/>
      <c r="M133" s="68"/>
      <c r="N133" s="67"/>
      <c r="O133" s="68" t="n">
        <f aca="false">P133+Q133</f>
        <v>0</v>
      </c>
      <c r="P133" s="68"/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" hidden="false" customHeight="false" outlineLevel="0" collapsed="false">
      <c r="A134" s="17"/>
      <c r="B134" s="18"/>
      <c r="C134" s="127"/>
      <c r="D134" s="127"/>
      <c r="E134" s="128"/>
      <c r="F134" s="26"/>
      <c r="G134" s="27" t="s">
        <v>26</v>
      </c>
      <c r="H134" s="123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" hidden="false" customHeight="true" outlineLevel="0" collapsed="false">
      <c r="A135" s="33"/>
      <c r="B135" s="34" t="s">
        <v>117</v>
      </c>
      <c r="C135" s="35" t="s">
        <v>33</v>
      </c>
      <c r="D135" s="35" t="s">
        <v>118</v>
      </c>
      <c r="E135" s="35" t="s">
        <v>25</v>
      </c>
      <c r="F135" s="89"/>
      <c r="G135" s="37" t="s">
        <v>22</v>
      </c>
      <c r="H135" s="119"/>
      <c r="I135" s="61"/>
      <c r="J135" s="61"/>
      <c r="K135" s="62" t="n">
        <f aca="false">L135+M135</f>
        <v>0</v>
      </c>
      <c r="L135" s="62"/>
      <c r="M135" s="62"/>
      <c r="N135" s="61"/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" hidden="false" customHeight="false" outlineLevel="0" collapsed="false">
      <c r="A136" s="33"/>
      <c r="B136" s="34"/>
      <c r="C136" s="34"/>
      <c r="D136" s="34"/>
      <c r="E136" s="34"/>
      <c r="F136" s="42"/>
      <c r="G136" s="37" t="s">
        <v>23</v>
      </c>
      <c r="H136" s="116"/>
      <c r="I136" s="61"/>
      <c r="J136" s="61"/>
      <c r="K136" s="62" t="n">
        <f aca="false">L136+M136</f>
        <v>0</v>
      </c>
      <c r="L136" s="62"/>
      <c r="M136" s="62"/>
      <c r="N136" s="61" t="n">
        <v>1</v>
      </c>
      <c r="O136" s="62" t="n">
        <f aca="false">P136+Q136</f>
        <v>0</v>
      </c>
      <c r="P136" s="62"/>
      <c r="Q136" s="63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" hidden="false" customHeight="false" outlineLevel="0" collapsed="false">
      <c r="A137" s="33"/>
      <c r="B137" s="34"/>
      <c r="C137" s="34"/>
      <c r="D137" s="34"/>
      <c r="E137" s="34"/>
      <c r="F137" s="42"/>
      <c r="G137" s="43" t="s">
        <v>26</v>
      </c>
      <c r="H137" s="115"/>
      <c r="I137" s="64"/>
      <c r="J137" s="64"/>
      <c r="K137" s="65" t="n">
        <f aca="false">L137+M137</f>
        <v>0</v>
      </c>
      <c r="L137" s="65"/>
      <c r="M137" s="65"/>
      <c r="N137" s="64" t="n">
        <v>5</v>
      </c>
      <c r="O137" s="65" t="n">
        <f aca="false">P137+Q137</f>
        <v>0</v>
      </c>
      <c r="P137" s="65"/>
      <c r="Q137" s="66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" hidden="false" customHeight="true" outlineLevel="0" collapsed="false">
      <c r="A138" s="17"/>
      <c r="B138" s="18" t="s">
        <v>119</v>
      </c>
      <c r="C138" s="19" t="s">
        <v>20</v>
      </c>
      <c r="D138" s="19"/>
      <c r="E138" s="19" t="s">
        <v>25</v>
      </c>
      <c r="F138" s="20"/>
      <c r="G138" s="21" t="s">
        <v>22</v>
      </c>
      <c r="H138" s="116"/>
      <c r="I138" s="67"/>
      <c r="J138" s="67"/>
      <c r="K138" s="68" t="n">
        <f aca="false">L138+M138</f>
        <v>0</v>
      </c>
      <c r="L138" s="68"/>
      <c r="M138" s="68"/>
      <c r="N138" s="67" t="n">
        <v>1</v>
      </c>
      <c r="O138" s="68" t="n">
        <f aca="false">P138+Q138</f>
        <v>0</v>
      </c>
      <c r="P138" s="68"/>
      <c r="Q138" s="69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17"/>
      <c r="B139" s="18"/>
      <c r="C139" s="18"/>
      <c r="D139" s="18"/>
      <c r="E139" s="18"/>
      <c r="F139" s="26"/>
      <c r="G139" s="27" t="s">
        <v>26</v>
      </c>
      <c r="H139" s="118" t="n">
        <v>2</v>
      </c>
      <c r="I139" s="58"/>
      <c r="J139" s="58"/>
      <c r="K139" s="59" t="n">
        <f aca="false">L139+M139</f>
        <v>0</v>
      </c>
      <c r="L139" s="59"/>
      <c r="M139" s="59"/>
      <c r="N139" s="58" t="n">
        <v>1</v>
      </c>
      <c r="O139" s="59" t="n">
        <f aca="false">P139+Q139</f>
        <v>0</v>
      </c>
      <c r="P139" s="59"/>
      <c r="Q139" s="60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" hidden="false" customHeight="true" outlineLevel="0" collapsed="false">
      <c r="A140" s="54"/>
      <c r="B140" s="55" t="s">
        <v>120</v>
      </c>
      <c r="C140" s="56" t="s">
        <v>20</v>
      </c>
      <c r="D140" s="56"/>
      <c r="E140" s="56" t="s">
        <v>25</v>
      </c>
      <c r="F140" s="36"/>
      <c r="G140" s="21" t="s">
        <v>22</v>
      </c>
      <c r="H140" s="116"/>
      <c r="I140" s="61"/>
      <c r="J140" s="61"/>
      <c r="K140" s="62" t="n">
        <f aca="false">L140+M140</f>
        <v>0</v>
      </c>
      <c r="L140" s="62"/>
      <c r="M140" s="62"/>
      <c r="N140" s="61" t="n">
        <v>3</v>
      </c>
      <c r="O140" s="62" t="n">
        <f aca="false">P140+Q140</f>
        <v>0</v>
      </c>
      <c r="P140" s="62"/>
      <c r="Q140" s="63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.75" hidden="false" customHeight="true" outlineLevel="0" collapsed="false">
      <c r="A141" s="54"/>
      <c r="B141" s="55"/>
      <c r="C141" s="55"/>
      <c r="D141" s="55"/>
      <c r="E141" s="55"/>
      <c r="F141" s="71"/>
      <c r="G141" s="43" t="s">
        <v>26</v>
      </c>
      <c r="H141" s="124"/>
      <c r="I141" s="64"/>
      <c r="J141" s="64"/>
      <c r="K141" s="65" t="n">
        <f aca="false">L141+M141</f>
        <v>0</v>
      </c>
      <c r="L141" s="65"/>
      <c r="M141" s="65"/>
      <c r="N141" s="64"/>
      <c r="O141" s="65" t="n">
        <f aca="false">P141+Q141</f>
        <v>0</v>
      </c>
      <c r="P141" s="65"/>
      <c r="Q141" s="66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" hidden="false" customHeight="true" outlineLevel="0" collapsed="false">
      <c r="A142" s="72"/>
      <c r="B142" s="18" t="s">
        <v>158</v>
      </c>
      <c r="C142" s="74"/>
      <c r="D142" s="74"/>
      <c r="E142" s="74"/>
      <c r="F142" s="53"/>
      <c r="G142" s="21" t="s">
        <v>22</v>
      </c>
      <c r="H142" s="129"/>
      <c r="I142" s="130"/>
      <c r="J142" s="130"/>
      <c r="K142" s="131" t="n">
        <f aca="false">L142+M142</f>
        <v>0</v>
      </c>
      <c r="L142" s="131"/>
      <c r="M142" s="131"/>
      <c r="N142" s="130"/>
      <c r="O142" s="131" t="n">
        <f aca="false">P142+Q142</f>
        <v>0</v>
      </c>
      <c r="P142" s="131"/>
      <c r="Q142" s="13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" hidden="false" customHeight="false" outlineLevel="0" collapsed="false">
      <c r="A143" s="54"/>
      <c r="B143" s="18"/>
      <c r="C143" s="56"/>
      <c r="D143" s="56"/>
      <c r="E143" s="56"/>
      <c r="F143" s="133"/>
      <c r="G143" s="27" t="s">
        <v>26</v>
      </c>
      <c r="H143" s="118" t="n">
        <v>2</v>
      </c>
      <c r="I143" s="134"/>
      <c r="J143" s="134"/>
      <c r="K143" s="135" t="n">
        <f aca="false">L143+M143</f>
        <v>0</v>
      </c>
      <c r="L143" s="135"/>
      <c r="M143" s="135"/>
      <c r="N143" s="134"/>
      <c r="O143" s="135" t="n">
        <f aca="false">P143+Q143</f>
        <v>0</v>
      </c>
      <c r="P143" s="135"/>
      <c r="Q143" s="136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" hidden="false" customHeight="true" outlineLevel="0" collapsed="false">
      <c r="A144" s="33"/>
      <c r="B144" s="34" t="s">
        <v>152</v>
      </c>
      <c r="C144" s="35" t="s">
        <v>20</v>
      </c>
      <c r="D144" s="35"/>
      <c r="E144" s="35" t="s">
        <v>25</v>
      </c>
      <c r="F144" s="36"/>
      <c r="G144" s="37" t="s">
        <v>22</v>
      </c>
      <c r="H144" s="116"/>
      <c r="I144" s="61"/>
      <c r="J144" s="61"/>
      <c r="K144" s="62" t="n">
        <f aca="false">L144+M144</f>
        <v>0</v>
      </c>
      <c r="L144" s="62"/>
      <c r="M144" s="62"/>
      <c r="N144" s="61" t="n">
        <v>1</v>
      </c>
      <c r="O144" s="62" t="n">
        <f aca="false">P144+Q144</f>
        <v>0</v>
      </c>
      <c r="P144" s="62"/>
      <c r="Q144" s="63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5.75" hidden="false" customHeight="true" outlineLevel="0" collapsed="false">
      <c r="A145" s="33"/>
      <c r="B145" s="34"/>
      <c r="C145" s="34"/>
      <c r="D145" s="34"/>
      <c r="E145" s="34"/>
      <c r="F145" s="42"/>
      <c r="G145" s="43" t="s">
        <v>26</v>
      </c>
      <c r="H145" s="117" t="n">
        <v>3</v>
      </c>
      <c r="I145" s="64"/>
      <c r="J145" s="64"/>
      <c r="K145" s="65" t="n">
        <f aca="false">L145+M145</f>
        <v>0</v>
      </c>
      <c r="L145" s="65"/>
      <c r="M145" s="65"/>
      <c r="N145" s="64" t="n">
        <v>2</v>
      </c>
      <c r="O145" s="65" t="n">
        <f aca="false">P145+Q145</f>
        <v>0</v>
      </c>
      <c r="P145" s="65"/>
      <c r="Q145" s="66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5" hidden="false" customHeight="true" outlineLevel="0" collapsed="false">
      <c r="A146" s="17"/>
      <c r="B146" s="18" t="s">
        <v>122</v>
      </c>
      <c r="C146" s="19" t="s">
        <v>20</v>
      </c>
      <c r="D146" s="19"/>
      <c r="E146" s="19" t="s">
        <v>116</v>
      </c>
      <c r="F146" s="20"/>
      <c r="G146" s="21" t="s">
        <v>22</v>
      </c>
      <c r="H146" s="114" t="n">
        <v>10</v>
      </c>
      <c r="I146" s="67" t="n">
        <v>4</v>
      </c>
      <c r="J146" s="67" t="n">
        <v>5</v>
      </c>
      <c r="K146" s="68" t="n">
        <f aca="false">L146+M146</f>
        <v>0</v>
      </c>
      <c r="L146" s="68"/>
      <c r="M146" s="68"/>
      <c r="N146" s="67" t="n">
        <v>11</v>
      </c>
      <c r="O146" s="68" t="n">
        <f aca="false">P146+Q146</f>
        <v>0</v>
      </c>
      <c r="P146" s="68"/>
      <c r="Q146" s="69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5.75" hidden="false" customHeight="true" outlineLevel="0" collapsed="false">
      <c r="A147" s="17"/>
      <c r="B147" s="18"/>
      <c r="C147" s="18"/>
      <c r="D147" s="18"/>
      <c r="E147" s="18"/>
      <c r="F147" s="57"/>
      <c r="G147" s="27" t="s">
        <v>26</v>
      </c>
      <c r="H147" s="115"/>
      <c r="I147" s="58"/>
      <c r="J147" s="58"/>
      <c r="K147" s="59" t="n">
        <f aca="false">L147+M147</f>
        <v>0</v>
      </c>
      <c r="L147" s="59"/>
      <c r="M147" s="59"/>
      <c r="N147" s="58"/>
      <c r="O147" s="59" t="n">
        <f aca="false">P147+Q147</f>
        <v>0</v>
      </c>
      <c r="P147" s="59"/>
      <c r="Q147" s="60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5.75" hidden="false" customHeight="true" outlineLevel="0" collapsed="false">
      <c r="A148" s="33"/>
      <c r="B148" s="34" t="s">
        <v>123</v>
      </c>
      <c r="C148" s="35" t="s">
        <v>20</v>
      </c>
      <c r="D148" s="35"/>
      <c r="E148" s="35" t="s">
        <v>25</v>
      </c>
      <c r="F148" s="36"/>
      <c r="G148" s="21" t="s">
        <v>22</v>
      </c>
      <c r="H148" s="114" t="n">
        <v>2</v>
      </c>
      <c r="I148" s="61" t="n">
        <v>2</v>
      </c>
      <c r="J148" s="61" t="n">
        <v>2</v>
      </c>
      <c r="K148" s="62" t="n">
        <f aca="false">L148+M148</f>
        <v>0</v>
      </c>
      <c r="L148" s="62"/>
      <c r="M148" s="62"/>
      <c r="N148" s="61" t="n">
        <v>1</v>
      </c>
      <c r="O148" s="62" t="n">
        <f aca="false">P148+Q148</f>
        <v>0</v>
      </c>
      <c r="P148" s="62"/>
      <c r="Q148" s="63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5.75" hidden="false" customHeight="true" outlineLevel="0" collapsed="false">
      <c r="A149" s="33"/>
      <c r="B149" s="34"/>
      <c r="C149" s="34"/>
      <c r="D149" s="34"/>
      <c r="E149" s="34"/>
      <c r="F149" s="42"/>
      <c r="G149" s="43" t="s">
        <v>26</v>
      </c>
      <c r="H149" s="115"/>
      <c r="I149" s="64"/>
      <c r="J149" s="64"/>
      <c r="K149" s="65" t="n">
        <f aca="false">L149+M149</f>
        <v>0</v>
      </c>
      <c r="L149" s="65"/>
      <c r="M149" s="65"/>
      <c r="N149" s="64" t="n">
        <v>1</v>
      </c>
      <c r="O149" s="65" t="n">
        <f aca="false">P149+Q149</f>
        <v>0</v>
      </c>
      <c r="P149" s="65"/>
      <c r="Q149" s="66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5.75" hidden="false" customHeight="true" outlineLevel="0" collapsed="false">
      <c r="A150" s="17"/>
      <c r="B150" s="18" t="s">
        <v>124</v>
      </c>
      <c r="C150" s="19" t="s">
        <v>20</v>
      </c>
      <c r="D150" s="19"/>
      <c r="E150" s="19" t="s">
        <v>88</v>
      </c>
      <c r="F150" s="20"/>
      <c r="G150" s="21" t="s">
        <v>22</v>
      </c>
      <c r="H150" s="114" t="n">
        <v>3</v>
      </c>
      <c r="I150" s="67"/>
      <c r="J150" s="67"/>
      <c r="K150" s="68" t="n">
        <f aca="false">L150+M150</f>
        <v>0</v>
      </c>
      <c r="L150" s="68"/>
      <c r="M150" s="68"/>
      <c r="N150" s="67" t="n">
        <v>3</v>
      </c>
      <c r="O150" s="68" t="n">
        <f aca="false">P150+Q150</f>
        <v>0</v>
      </c>
      <c r="P150" s="68"/>
      <c r="Q150" s="69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5.75" hidden="false" customHeight="true" outlineLevel="0" collapsed="false">
      <c r="A151" s="17"/>
      <c r="B151" s="18"/>
      <c r="C151" s="18"/>
      <c r="D151" s="18"/>
      <c r="E151" s="18"/>
      <c r="F151" s="26"/>
      <c r="G151" s="27" t="s">
        <v>23</v>
      </c>
      <c r="H151" s="117" t="n">
        <v>2</v>
      </c>
      <c r="I151" s="58" t="n">
        <v>2</v>
      </c>
      <c r="J151" s="58" t="n">
        <v>2</v>
      </c>
      <c r="K151" s="59" t="n">
        <f aca="false">L151+M151</f>
        <v>0</v>
      </c>
      <c r="L151" s="59"/>
      <c r="M151" s="59"/>
      <c r="N151" s="58"/>
      <c r="O151" s="59" t="n">
        <f aca="false">P151+Q151</f>
        <v>0</v>
      </c>
      <c r="P151" s="59"/>
      <c r="Q151" s="60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.75" hidden="false" customHeight="true" outlineLevel="0" collapsed="false">
      <c r="A152" s="33"/>
      <c r="B152" s="34" t="s">
        <v>125</v>
      </c>
      <c r="C152" s="35" t="s">
        <v>33</v>
      </c>
      <c r="D152" s="35" t="s">
        <v>126</v>
      </c>
      <c r="E152" s="35" t="s">
        <v>127</v>
      </c>
      <c r="F152" s="36"/>
      <c r="G152" s="21" t="s">
        <v>22</v>
      </c>
      <c r="H152" s="114" t="n">
        <v>4</v>
      </c>
      <c r="I152" s="61" t="n">
        <v>2</v>
      </c>
      <c r="J152" s="61" t="n">
        <v>2</v>
      </c>
      <c r="K152" s="62" t="n">
        <f aca="false">L152+M152</f>
        <v>0</v>
      </c>
      <c r="L152" s="62"/>
      <c r="M152" s="62"/>
      <c r="N152" s="61" t="n">
        <v>5</v>
      </c>
      <c r="O152" s="62" t="n">
        <f aca="false">P152+Q152</f>
        <v>0</v>
      </c>
      <c r="P152" s="62"/>
      <c r="Q152" s="63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.75" hidden="false" customHeight="true" outlineLevel="0" collapsed="false">
      <c r="A153" s="33"/>
      <c r="B153" s="34"/>
      <c r="C153" s="34"/>
      <c r="D153" s="34"/>
      <c r="E153" s="34"/>
      <c r="F153" s="42"/>
      <c r="G153" s="43" t="s">
        <v>23</v>
      </c>
      <c r="H153" s="117" t="n">
        <v>20</v>
      </c>
      <c r="I153" s="64" t="n">
        <v>2</v>
      </c>
      <c r="J153" s="64" t="n">
        <v>2</v>
      </c>
      <c r="K153" s="65" t="n">
        <f aca="false">L153+M153</f>
        <v>0</v>
      </c>
      <c r="L153" s="65"/>
      <c r="M153" s="65"/>
      <c r="N153" s="64" t="n">
        <v>1</v>
      </c>
      <c r="O153" s="65" t="n">
        <f aca="false">P153+Q153</f>
        <v>0</v>
      </c>
      <c r="P153" s="65"/>
      <c r="Q153" s="66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" hidden="false" customHeight="true" outlineLevel="0" collapsed="false">
      <c r="A154" s="17"/>
      <c r="B154" s="18" t="s">
        <v>128</v>
      </c>
      <c r="C154" s="19" t="s">
        <v>20</v>
      </c>
      <c r="D154" s="19"/>
      <c r="E154" s="19" t="s">
        <v>25</v>
      </c>
      <c r="F154" s="20"/>
      <c r="G154" s="21" t="s">
        <v>22</v>
      </c>
      <c r="H154" s="114" t="n">
        <v>10</v>
      </c>
      <c r="I154" s="67" t="n">
        <v>7</v>
      </c>
      <c r="J154" s="67" t="n">
        <v>7</v>
      </c>
      <c r="K154" s="68" t="n">
        <f aca="false">L154+M154</f>
        <v>0</v>
      </c>
      <c r="L154" s="68"/>
      <c r="M154" s="68"/>
      <c r="N154" s="67" t="n">
        <v>11</v>
      </c>
      <c r="O154" s="68" t="n">
        <f aca="false">P154+Q154</f>
        <v>0</v>
      </c>
      <c r="P154" s="68"/>
      <c r="Q154" s="69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17"/>
      <c r="B155" s="18"/>
      <c r="C155" s="18"/>
      <c r="D155" s="18"/>
      <c r="E155" s="18"/>
      <c r="F155" s="57"/>
      <c r="G155" s="27" t="s">
        <v>26</v>
      </c>
      <c r="H155" s="115"/>
      <c r="I155" s="58"/>
      <c r="J155" s="58"/>
      <c r="K155" s="59" t="n">
        <f aca="false">L155+M155</f>
        <v>0</v>
      </c>
      <c r="L155" s="59"/>
      <c r="M155" s="59"/>
      <c r="N155" s="58"/>
      <c r="O155" s="59" t="n">
        <f aca="false">P155+Q155</f>
        <v>0</v>
      </c>
      <c r="P155" s="59"/>
      <c r="Q155" s="60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72"/>
      <c r="B156" s="73" t="s">
        <v>129</v>
      </c>
      <c r="C156" s="74" t="s">
        <v>38</v>
      </c>
      <c r="D156" s="74" t="s">
        <v>130</v>
      </c>
      <c r="E156" s="74" t="s">
        <v>25</v>
      </c>
      <c r="F156" s="20"/>
      <c r="G156" s="21" t="s">
        <v>22</v>
      </c>
      <c r="H156" s="114" t="n">
        <v>6</v>
      </c>
      <c r="I156" s="67" t="n">
        <v>4</v>
      </c>
      <c r="J156" s="67" t="n">
        <v>4</v>
      </c>
      <c r="K156" s="68" t="n">
        <f aca="false">L156+M156</f>
        <v>0</v>
      </c>
      <c r="L156" s="68"/>
      <c r="M156" s="68"/>
      <c r="N156" s="67" t="n">
        <v>1</v>
      </c>
      <c r="O156" s="68" t="n">
        <f aca="false">P156+Q156</f>
        <v>0</v>
      </c>
      <c r="P156" s="68"/>
      <c r="Q156" s="69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72"/>
      <c r="B157" s="73"/>
      <c r="C157" s="73"/>
      <c r="D157" s="73"/>
      <c r="E157" s="73"/>
      <c r="F157" s="42"/>
      <c r="G157" s="43" t="s">
        <v>26</v>
      </c>
      <c r="H157" s="115"/>
      <c r="I157" s="64"/>
      <c r="J157" s="64"/>
      <c r="K157" s="65" t="n">
        <f aca="false">L157+M157</f>
        <v>0</v>
      </c>
      <c r="L157" s="65"/>
      <c r="M157" s="65"/>
      <c r="N157" s="64" t="n">
        <v>5</v>
      </c>
      <c r="O157" s="65" t="n">
        <f aca="false">P157+Q157</f>
        <v>0</v>
      </c>
      <c r="P157" s="65"/>
      <c r="Q157" s="66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16.5" hidden="false" customHeight="true" outlineLevel="0" collapsed="false">
      <c r="A158" s="17"/>
      <c r="B158" s="18" t="s">
        <v>131</v>
      </c>
      <c r="C158" s="19" t="s">
        <v>38</v>
      </c>
      <c r="D158" s="19" t="s">
        <v>130</v>
      </c>
      <c r="E158" s="19" t="s">
        <v>25</v>
      </c>
      <c r="F158" s="20"/>
      <c r="G158" s="21" t="s">
        <v>22</v>
      </c>
      <c r="H158" s="114" t="n">
        <v>4</v>
      </c>
      <c r="I158" s="67" t="n">
        <v>2</v>
      </c>
      <c r="J158" s="67" t="n">
        <v>3</v>
      </c>
      <c r="K158" s="68" t="n">
        <f aca="false">L158+M158</f>
        <v>0</v>
      </c>
      <c r="L158" s="68"/>
      <c r="M158" s="68"/>
      <c r="N158" s="67" t="n">
        <v>3</v>
      </c>
      <c r="O158" s="68" t="n">
        <f aca="false">P158+Q158</f>
        <v>0</v>
      </c>
      <c r="P158" s="68"/>
      <c r="Q158" s="69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6.5" hidden="false" customHeight="true" outlineLevel="0" collapsed="false">
      <c r="A159" s="17"/>
      <c r="B159" s="18"/>
      <c r="C159" s="18"/>
      <c r="D159" s="18"/>
      <c r="E159" s="18"/>
      <c r="F159" s="26"/>
      <c r="G159" s="27" t="s">
        <v>26</v>
      </c>
      <c r="H159" s="118" t="n">
        <v>2</v>
      </c>
      <c r="I159" s="58" t="n">
        <v>1</v>
      </c>
      <c r="J159" s="58" t="n">
        <v>1</v>
      </c>
      <c r="K159" s="59" t="n">
        <f aca="false">L159+M159</f>
        <v>0</v>
      </c>
      <c r="L159" s="59"/>
      <c r="M159" s="59"/>
      <c r="N159" s="58"/>
      <c r="O159" s="59" t="n">
        <f aca="false">P159+Q159</f>
        <v>0</v>
      </c>
      <c r="P159" s="59"/>
      <c r="Q159" s="96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6.5" hidden="false" customHeight="true" outlineLevel="0" collapsed="false">
      <c r="A160" s="33"/>
      <c r="B160" s="34" t="s">
        <v>132</v>
      </c>
      <c r="C160" s="35" t="s">
        <v>20</v>
      </c>
      <c r="D160" s="35"/>
      <c r="E160" s="35" t="s">
        <v>69</v>
      </c>
      <c r="F160" s="38"/>
      <c r="G160" s="21" t="s">
        <v>22</v>
      </c>
      <c r="H160" s="114" t="n">
        <v>3</v>
      </c>
      <c r="I160" s="61"/>
      <c r="J160" s="61"/>
      <c r="K160" s="62" t="n">
        <f aca="false">L160+M160</f>
        <v>0</v>
      </c>
      <c r="L160" s="62"/>
      <c r="M160" s="62"/>
      <c r="N160" s="61"/>
      <c r="O160" s="62" t="n">
        <f aca="false">P160+Q160</f>
        <v>0</v>
      </c>
      <c r="P160" s="62"/>
      <c r="Q160" s="63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6.5" hidden="false" customHeight="true" outlineLevel="0" collapsed="false">
      <c r="A161" s="33"/>
      <c r="B161" s="34"/>
      <c r="C161" s="34"/>
      <c r="D161" s="34"/>
      <c r="E161" s="34"/>
      <c r="F161" s="42"/>
      <c r="G161" s="43" t="s">
        <v>26</v>
      </c>
      <c r="H161" s="118" t="n">
        <v>5</v>
      </c>
      <c r="I161" s="64"/>
      <c r="J161" s="64"/>
      <c r="K161" s="65" t="n">
        <f aca="false">L161+M161</f>
        <v>0</v>
      </c>
      <c r="L161" s="65"/>
      <c r="M161" s="65"/>
      <c r="N161" s="64"/>
      <c r="O161" s="65" t="n">
        <f aca="false">P161+Q161</f>
        <v>0</v>
      </c>
      <c r="P161" s="65"/>
      <c r="Q161" s="66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6.5" hidden="false" customHeight="true" outlineLevel="0" collapsed="false">
      <c r="A162" s="72"/>
      <c r="B162" s="73" t="s">
        <v>133</v>
      </c>
      <c r="C162" s="74" t="s">
        <v>20</v>
      </c>
      <c r="D162" s="74"/>
      <c r="E162" s="74" t="s">
        <v>25</v>
      </c>
      <c r="F162" s="22"/>
      <c r="G162" s="21" t="s">
        <v>22</v>
      </c>
      <c r="H162" s="114" t="n">
        <v>1</v>
      </c>
      <c r="I162" s="67"/>
      <c r="J162" s="67"/>
      <c r="K162" s="68" t="n">
        <f aca="false">L162+M162</f>
        <v>0</v>
      </c>
      <c r="L162" s="68"/>
      <c r="M162" s="68"/>
      <c r="N162" s="67"/>
      <c r="O162" s="68" t="n">
        <f aca="false">P162+Q162</f>
        <v>0</v>
      </c>
      <c r="P162" s="68"/>
      <c r="Q162" s="69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6.5" hidden="false" customHeight="true" outlineLevel="0" collapsed="false">
      <c r="A163" s="72"/>
      <c r="B163" s="73"/>
      <c r="C163" s="73"/>
      <c r="D163" s="73"/>
      <c r="E163" s="73"/>
      <c r="F163" s="42"/>
      <c r="G163" s="43" t="s">
        <v>26</v>
      </c>
      <c r="H163" s="117" t="n">
        <v>2</v>
      </c>
      <c r="I163" s="64"/>
      <c r="J163" s="64"/>
      <c r="K163" s="65" t="n">
        <f aca="false">L163+M163</f>
        <v>0</v>
      </c>
      <c r="L163" s="65"/>
      <c r="M163" s="65"/>
      <c r="N163" s="64"/>
      <c r="O163" s="65" t="n">
        <f aca="false">P163+Q163</f>
        <v>0</v>
      </c>
      <c r="P163" s="65"/>
      <c r="Q163" s="66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6.5" hidden="false" customHeight="true" outlineLevel="0" collapsed="false">
      <c r="A164" s="72"/>
      <c r="B164" s="73" t="s">
        <v>134</v>
      </c>
      <c r="C164" s="74" t="s">
        <v>20</v>
      </c>
      <c r="D164" s="74"/>
      <c r="E164" s="74" t="s">
        <v>25</v>
      </c>
      <c r="F164" s="20"/>
      <c r="G164" s="21" t="s">
        <v>22</v>
      </c>
      <c r="H164" s="119" t="n">
        <v>1</v>
      </c>
      <c r="I164" s="67"/>
      <c r="J164" s="67"/>
      <c r="K164" s="68" t="n">
        <f aca="false">L164+M164</f>
        <v>0</v>
      </c>
      <c r="L164" s="68"/>
      <c r="M164" s="68"/>
      <c r="N164" s="67"/>
      <c r="O164" s="68" t="n">
        <f aca="false">P164+Q164</f>
        <v>0</v>
      </c>
      <c r="P164" s="68"/>
      <c r="Q164" s="69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72"/>
      <c r="B165" s="73"/>
      <c r="C165" s="73"/>
      <c r="D165" s="73"/>
      <c r="E165" s="73"/>
      <c r="F165" s="42"/>
      <c r="G165" s="43" t="s">
        <v>26</v>
      </c>
      <c r="H165" s="115"/>
      <c r="I165" s="64"/>
      <c r="J165" s="64"/>
      <c r="K165" s="65" t="n">
        <f aca="false">L165+M165</f>
        <v>0</v>
      </c>
      <c r="L165" s="65"/>
      <c r="M165" s="65"/>
      <c r="N165" s="64" t="n">
        <v>1</v>
      </c>
      <c r="O165" s="65" t="n">
        <f aca="false">P165+Q165</f>
        <v>0</v>
      </c>
      <c r="P165" s="65"/>
      <c r="Q165" s="66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" hidden="false" customHeight="true" outlineLevel="0" collapsed="false">
      <c r="A166" s="17"/>
      <c r="B166" s="18" t="s">
        <v>135</v>
      </c>
      <c r="C166" s="19" t="s">
        <v>20</v>
      </c>
      <c r="D166" s="19"/>
      <c r="E166" s="19" t="s">
        <v>69</v>
      </c>
      <c r="F166" s="22"/>
      <c r="G166" s="21" t="s">
        <v>22</v>
      </c>
      <c r="H166" s="114" t="n">
        <v>4</v>
      </c>
      <c r="I166" s="67" t="n">
        <v>2</v>
      </c>
      <c r="J166" s="67" t="n">
        <v>2</v>
      </c>
      <c r="K166" s="68" t="n">
        <f aca="false">L166+M166</f>
        <v>0</v>
      </c>
      <c r="L166" s="68"/>
      <c r="M166" s="68"/>
      <c r="N166" s="67" t="n">
        <v>2</v>
      </c>
      <c r="O166" s="68" t="n">
        <f aca="false">P166+Q166</f>
        <v>0</v>
      </c>
      <c r="P166" s="68"/>
      <c r="Q166" s="69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17"/>
      <c r="B167" s="18"/>
      <c r="C167" s="18"/>
      <c r="D167" s="18"/>
      <c r="E167" s="18"/>
      <c r="F167" s="26"/>
      <c r="G167" s="27" t="s">
        <v>26</v>
      </c>
      <c r="H167" s="117" t="n">
        <v>1</v>
      </c>
      <c r="I167" s="58"/>
      <c r="J167" s="58"/>
      <c r="K167" s="59" t="n">
        <f aca="false">L167+M167</f>
        <v>0</v>
      </c>
      <c r="L167" s="59"/>
      <c r="M167" s="59"/>
      <c r="N167" s="58" t="n">
        <v>1</v>
      </c>
      <c r="O167" s="59" t="n">
        <f aca="false">P167+Q167</f>
        <v>0</v>
      </c>
      <c r="P167" s="59"/>
      <c r="Q167" s="60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33"/>
      <c r="B168" s="34" t="s">
        <v>136</v>
      </c>
      <c r="C168" s="35" t="s">
        <v>20</v>
      </c>
      <c r="D168" s="35"/>
      <c r="E168" s="35" t="s">
        <v>98</v>
      </c>
      <c r="F168" s="36"/>
      <c r="G168" s="21" t="s">
        <v>22</v>
      </c>
      <c r="H168" s="114" t="n">
        <v>9</v>
      </c>
      <c r="I168" s="61" t="n">
        <v>4</v>
      </c>
      <c r="J168" s="61" t="n">
        <v>4</v>
      </c>
      <c r="K168" s="62" t="n">
        <f aca="false">L168+M168</f>
        <v>0</v>
      </c>
      <c r="L168" s="62"/>
      <c r="M168" s="62"/>
      <c r="N168" s="61" t="n">
        <v>6</v>
      </c>
      <c r="O168" s="62" t="n">
        <f aca="false">P168+Q168</f>
        <v>0</v>
      </c>
      <c r="P168" s="62"/>
      <c r="Q168" s="63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.75" hidden="false" customHeight="true" outlineLevel="0" collapsed="false">
      <c r="A169" s="33"/>
      <c r="B169" s="34"/>
      <c r="C169" s="34"/>
      <c r="D169" s="34"/>
      <c r="E169" s="34"/>
      <c r="F169" s="42"/>
      <c r="G169" s="43" t="s">
        <v>23</v>
      </c>
      <c r="H169" s="117" t="n">
        <v>2</v>
      </c>
      <c r="I169" s="64" t="n">
        <v>3</v>
      </c>
      <c r="J169" s="64" t="n">
        <v>3</v>
      </c>
      <c r="K169" s="65" t="n">
        <f aca="false">L169+M169</f>
        <v>0</v>
      </c>
      <c r="L169" s="65"/>
      <c r="M169" s="65"/>
      <c r="N169" s="64"/>
      <c r="O169" s="65" t="n">
        <f aca="false">P169+Q169</f>
        <v>0</v>
      </c>
      <c r="P169" s="65"/>
      <c r="Q169" s="66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17"/>
      <c r="B170" s="18" t="s">
        <v>137</v>
      </c>
      <c r="C170" s="19" t="s">
        <v>20</v>
      </c>
      <c r="D170" s="19"/>
      <c r="E170" s="19" t="s">
        <v>25</v>
      </c>
      <c r="F170" s="20"/>
      <c r="G170" s="21" t="s">
        <v>22</v>
      </c>
      <c r="H170" s="116"/>
      <c r="I170" s="67"/>
      <c r="J170" s="67"/>
      <c r="K170" s="68" t="n">
        <f aca="false">L170+M170</f>
        <v>0</v>
      </c>
      <c r="L170" s="68"/>
      <c r="M170" s="68"/>
      <c r="N170" s="67"/>
      <c r="O170" s="68" t="n">
        <f aca="false">P170+Q170</f>
        <v>0</v>
      </c>
      <c r="P170" s="68"/>
      <c r="Q170" s="69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20.25" hidden="false" customHeight="true" outlineLevel="0" collapsed="false">
      <c r="A171" s="17"/>
      <c r="B171" s="18"/>
      <c r="C171" s="18"/>
      <c r="D171" s="18"/>
      <c r="E171" s="18"/>
      <c r="F171" s="26"/>
      <c r="G171" s="27" t="s">
        <v>26</v>
      </c>
      <c r="H171" s="118" t="n">
        <v>2</v>
      </c>
      <c r="I171" s="58"/>
      <c r="J171" s="58"/>
      <c r="K171" s="59" t="n">
        <f aca="false">L171+M171</f>
        <v>0</v>
      </c>
      <c r="L171" s="59"/>
      <c r="M171" s="59"/>
      <c r="N171" s="58"/>
      <c r="O171" s="59" t="n">
        <f aca="false">P171+Q171</f>
        <v>0</v>
      </c>
      <c r="P171" s="59"/>
      <c r="Q171" s="60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54"/>
      <c r="B172" s="55" t="s">
        <v>138</v>
      </c>
      <c r="C172" s="56" t="s">
        <v>33</v>
      </c>
      <c r="D172" s="56" t="s">
        <v>139</v>
      </c>
      <c r="E172" s="56" t="s">
        <v>25</v>
      </c>
      <c r="F172" s="36"/>
      <c r="G172" s="21" t="s">
        <v>22</v>
      </c>
      <c r="H172" s="116"/>
      <c r="I172" s="61"/>
      <c r="J172" s="61"/>
      <c r="K172" s="62" t="n">
        <f aca="false">L172+M172</f>
        <v>0</v>
      </c>
      <c r="L172" s="62"/>
      <c r="M172" s="62"/>
      <c r="N172" s="61"/>
      <c r="O172" s="62" t="n">
        <f aca="false">P172+Q172</f>
        <v>0</v>
      </c>
      <c r="P172" s="62"/>
      <c r="Q172" s="63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54"/>
      <c r="B173" s="55"/>
      <c r="C173" s="55"/>
      <c r="D173" s="55"/>
      <c r="E173" s="55"/>
      <c r="F173" s="57"/>
      <c r="G173" s="27" t="s">
        <v>26</v>
      </c>
      <c r="H173" s="117" t="n">
        <v>4</v>
      </c>
      <c r="I173" s="58" t="n">
        <v>1</v>
      </c>
      <c r="J173" s="58" t="n">
        <v>1</v>
      </c>
      <c r="K173" s="59" t="n">
        <f aca="false">L173+M173</f>
        <v>0</v>
      </c>
      <c r="L173" s="59"/>
      <c r="M173" s="59"/>
      <c r="N173" s="58"/>
      <c r="O173" s="59" t="n">
        <f aca="false">P173+Q173</f>
        <v>0</v>
      </c>
      <c r="P173" s="59"/>
      <c r="Q173" s="60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" hidden="false" customHeight="true" outlineLevel="0" collapsed="false">
      <c r="A174" s="33"/>
      <c r="B174" s="34" t="s">
        <v>140</v>
      </c>
      <c r="C174" s="35" t="s">
        <v>20</v>
      </c>
      <c r="D174" s="35"/>
      <c r="E174" s="35" t="s">
        <v>141</v>
      </c>
      <c r="F174" s="36"/>
      <c r="G174" s="21" t="s">
        <v>22</v>
      </c>
      <c r="H174" s="114" t="n">
        <v>1</v>
      </c>
      <c r="I174" s="61" t="n">
        <v>1</v>
      </c>
      <c r="J174" s="61" t="n">
        <v>1</v>
      </c>
      <c r="K174" s="62" t="n">
        <f aca="false">L174+M174</f>
        <v>0</v>
      </c>
      <c r="L174" s="62"/>
      <c r="M174" s="62"/>
      <c r="N174" s="61" t="n">
        <v>2</v>
      </c>
      <c r="O174" s="62" t="n">
        <f aca="false">P174+Q174</f>
        <v>0</v>
      </c>
      <c r="P174" s="62"/>
      <c r="Q174" s="63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.75" hidden="false" customHeight="true" outlineLevel="0" collapsed="false">
      <c r="A175" s="33"/>
      <c r="B175" s="34"/>
      <c r="C175" s="34"/>
      <c r="D175" s="34"/>
      <c r="E175" s="34"/>
      <c r="F175" s="42"/>
      <c r="G175" s="43" t="s">
        <v>26</v>
      </c>
      <c r="H175" s="115"/>
      <c r="I175" s="64"/>
      <c r="J175" s="64"/>
      <c r="K175" s="65" t="n">
        <f aca="false">L175+M175</f>
        <v>0</v>
      </c>
      <c r="L175" s="65"/>
      <c r="M175" s="65"/>
      <c r="N175" s="64"/>
      <c r="O175" s="65" t="n">
        <f aca="false">P175+Q175</f>
        <v>0</v>
      </c>
      <c r="P175" s="65"/>
      <c r="Q175" s="66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17"/>
      <c r="B176" s="18" t="s">
        <v>142</v>
      </c>
      <c r="C176" s="19" t="s">
        <v>20</v>
      </c>
      <c r="D176" s="19"/>
      <c r="E176" s="19" t="s">
        <v>25</v>
      </c>
      <c r="F176" s="20"/>
      <c r="G176" s="21" t="s">
        <v>22</v>
      </c>
      <c r="H176" s="114" t="n">
        <v>3</v>
      </c>
      <c r="I176" s="67" t="n">
        <v>3</v>
      </c>
      <c r="J176" s="67" t="n">
        <v>3</v>
      </c>
      <c r="K176" s="68" t="n">
        <f aca="false">L176+M176</f>
        <v>0</v>
      </c>
      <c r="L176" s="68"/>
      <c r="M176" s="68"/>
      <c r="N176" s="67" t="n">
        <v>1</v>
      </c>
      <c r="O176" s="68" t="n">
        <f aca="false">P176+Q176</f>
        <v>0</v>
      </c>
      <c r="P176" s="68"/>
      <c r="Q176" s="69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17"/>
      <c r="B177" s="18"/>
      <c r="C177" s="18"/>
      <c r="D177" s="18"/>
      <c r="E177" s="18"/>
      <c r="F177" s="26"/>
      <c r="G177" s="27" t="s">
        <v>26</v>
      </c>
      <c r="H177" s="117" t="n">
        <v>4</v>
      </c>
      <c r="I177" s="58" t="n">
        <v>2</v>
      </c>
      <c r="J177" s="58" t="n">
        <v>2</v>
      </c>
      <c r="K177" s="59" t="n">
        <f aca="false">L177+M177</f>
        <v>0</v>
      </c>
      <c r="L177" s="59"/>
      <c r="M177" s="59"/>
      <c r="N177" s="58" t="n">
        <v>3</v>
      </c>
      <c r="O177" s="59" t="n">
        <f aca="false">P177+Q177</f>
        <v>0</v>
      </c>
      <c r="P177" s="59"/>
      <c r="Q177" s="60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.75" hidden="false" customHeight="true" outlineLevel="0" collapsed="false">
      <c r="A178" s="33"/>
      <c r="B178" s="34" t="s">
        <v>143</v>
      </c>
      <c r="C178" s="35" t="s">
        <v>20</v>
      </c>
      <c r="D178" s="35"/>
      <c r="E178" s="35" t="s">
        <v>25</v>
      </c>
      <c r="F178" s="36"/>
      <c r="G178" s="21" t="s">
        <v>22</v>
      </c>
      <c r="H178" s="116"/>
      <c r="I178" s="61"/>
      <c r="J178" s="61"/>
      <c r="K178" s="62" t="n">
        <f aca="false">L178+M178</f>
        <v>0</v>
      </c>
      <c r="L178" s="62"/>
      <c r="M178" s="62"/>
      <c r="N178" s="61"/>
      <c r="O178" s="62" t="n">
        <f aca="false">P178+Q178</f>
        <v>0</v>
      </c>
      <c r="P178" s="62"/>
      <c r="Q178" s="63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/>
      <c r="G179" s="43" t="s">
        <v>26</v>
      </c>
      <c r="H179" s="117" t="n">
        <v>2</v>
      </c>
      <c r="I179" s="64"/>
      <c r="J179" s="64"/>
      <c r="K179" s="65" t="n">
        <f aca="false">L179+M179</f>
        <v>0</v>
      </c>
      <c r="L179" s="65"/>
      <c r="M179" s="65"/>
      <c r="N179" s="64" t="n">
        <v>2</v>
      </c>
      <c r="O179" s="65" t="n">
        <f aca="false">P179+Q179</f>
        <v>0</v>
      </c>
      <c r="P179" s="65"/>
      <c r="Q179" s="66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.75" hidden="false" customHeight="true" outlineLevel="0" collapsed="false">
      <c r="A180" s="17"/>
      <c r="B180" s="18" t="s">
        <v>144</v>
      </c>
      <c r="C180" s="19" t="s">
        <v>20</v>
      </c>
      <c r="D180" s="19"/>
      <c r="E180" s="19" t="s">
        <v>81</v>
      </c>
      <c r="F180" s="20"/>
      <c r="G180" s="21" t="s">
        <v>22</v>
      </c>
      <c r="H180" s="114" t="n">
        <v>4</v>
      </c>
      <c r="I180" s="67"/>
      <c r="J180" s="67"/>
      <c r="K180" s="68" t="n">
        <f aca="false">L180+M180</f>
        <v>0</v>
      </c>
      <c r="L180" s="68"/>
      <c r="M180" s="68"/>
      <c r="N180" s="67" t="n">
        <v>2</v>
      </c>
      <c r="O180" s="68" t="n">
        <f aca="false">P180+Q180</f>
        <v>0</v>
      </c>
      <c r="P180" s="68"/>
      <c r="Q180" s="69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5.75" hidden="false" customHeight="true" outlineLevel="0" collapsed="false">
      <c r="A181" s="17"/>
      <c r="B181" s="18"/>
      <c r="C181" s="18"/>
      <c r="D181" s="18"/>
      <c r="E181" s="18"/>
      <c r="F181" s="26"/>
      <c r="G181" s="27" t="s">
        <v>26</v>
      </c>
      <c r="H181" s="117" t="n">
        <v>6</v>
      </c>
      <c r="I181" s="58"/>
      <c r="J181" s="58"/>
      <c r="K181" s="59" t="n">
        <f aca="false">L181+M181</f>
        <v>0</v>
      </c>
      <c r="L181" s="59"/>
      <c r="M181" s="59"/>
      <c r="N181" s="58" t="n">
        <v>1</v>
      </c>
      <c r="O181" s="59" t="n">
        <f aca="false">P181+Q181</f>
        <v>0</v>
      </c>
      <c r="P181" s="59"/>
      <c r="Q181" s="60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" hidden="false" customHeight="true" outlineLevel="0" collapsed="false">
      <c r="A182" s="33"/>
      <c r="B182" s="34" t="s">
        <v>145</v>
      </c>
      <c r="C182" s="35" t="s">
        <v>20</v>
      </c>
      <c r="D182" s="35"/>
      <c r="E182" s="35" t="s">
        <v>98</v>
      </c>
      <c r="F182" s="36"/>
      <c r="G182" s="21" t="s">
        <v>22</v>
      </c>
      <c r="H182" s="116"/>
      <c r="I182" s="61"/>
      <c r="J182" s="61"/>
      <c r="K182" s="62" t="n">
        <f aca="false">L182+M182</f>
        <v>0</v>
      </c>
      <c r="L182" s="62"/>
      <c r="M182" s="62"/>
      <c r="N182" s="61"/>
      <c r="O182" s="62" t="n">
        <f aca="false">P182+Q182</f>
        <v>0</v>
      </c>
      <c r="P182" s="62"/>
      <c r="Q182" s="63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.75" hidden="false" customHeight="true" outlineLevel="0" collapsed="false">
      <c r="A183" s="33"/>
      <c r="B183" s="34"/>
      <c r="C183" s="34"/>
      <c r="D183" s="34"/>
      <c r="E183" s="34"/>
      <c r="F183" s="71"/>
      <c r="G183" s="43" t="s">
        <v>23</v>
      </c>
      <c r="H183" s="115"/>
      <c r="I183" s="64"/>
      <c r="J183" s="64"/>
      <c r="K183" s="65" t="n">
        <f aca="false">L183+M183</f>
        <v>0</v>
      </c>
      <c r="L183" s="65"/>
      <c r="M183" s="65"/>
      <c r="N183" s="64"/>
      <c r="O183" s="65" t="n">
        <f aca="false">P183+Q183</f>
        <v>0</v>
      </c>
      <c r="P183" s="65"/>
      <c r="Q183" s="66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true" outlineLevel="0" collapsed="false">
      <c r="A184" s="17"/>
      <c r="B184" s="18" t="s">
        <v>146</v>
      </c>
      <c r="C184" s="19" t="s">
        <v>20</v>
      </c>
      <c r="D184" s="19"/>
      <c r="E184" s="19" t="s">
        <v>25</v>
      </c>
      <c r="F184" s="22"/>
      <c r="G184" s="21" t="s">
        <v>22</v>
      </c>
      <c r="H184" s="114" t="n">
        <v>4</v>
      </c>
      <c r="I184" s="67" t="n">
        <v>1</v>
      </c>
      <c r="J184" s="67" t="n">
        <v>1</v>
      </c>
      <c r="K184" s="68" t="n">
        <f aca="false">L184+M184</f>
        <v>0</v>
      </c>
      <c r="L184" s="68"/>
      <c r="M184" s="68"/>
      <c r="N184" s="67"/>
      <c r="O184" s="68" t="n">
        <f aca="false">P184+Q184</f>
        <v>0</v>
      </c>
      <c r="P184" s="68"/>
      <c r="Q184" s="69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.75" hidden="false" customHeight="true" outlineLevel="0" collapsed="false">
      <c r="A185" s="17"/>
      <c r="B185" s="18"/>
      <c r="C185" s="18"/>
      <c r="D185" s="18"/>
      <c r="E185" s="18"/>
      <c r="F185" s="26"/>
      <c r="G185" s="27" t="s">
        <v>26</v>
      </c>
      <c r="H185" s="115"/>
      <c r="I185" s="58"/>
      <c r="J185" s="58"/>
      <c r="K185" s="59" t="n">
        <f aca="false">L185+M185</f>
        <v>0</v>
      </c>
      <c r="L185" s="59"/>
      <c r="M185" s="59"/>
      <c r="N185" s="58" t="n">
        <v>1</v>
      </c>
      <c r="O185" s="59" t="n">
        <f aca="false">P185+Q185</f>
        <v>0</v>
      </c>
      <c r="P185" s="59"/>
      <c r="Q185" s="60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.75" hidden="false" customHeight="true" outlineLevel="0" collapsed="false">
      <c r="A186" s="54"/>
      <c r="B186" s="55" t="s">
        <v>147</v>
      </c>
      <c r="C186" s="56" t="s">
        <v>20</v>
      </c>
      <c r="D186" s="56"/>
      <c r="E186" s="56" t="s">
        <v>25</v>
      </c>
      <c r="F186" s="97"/>
      <c r="G186" s="21" t="s">
        <v>22</v>
      </c>
      <c r="H186" s="114" t="n">
        <v>3</v>
      </c>
      <c r="I186" s="61" t="n">
        <v>2</v>
      </c>
      <c r="J186" s="61" t="n">
        <v>2</v>
      </c>
      <c r="K186" s="62" t="n">
        <f aca="false">L186+M186</f>
        <v>0</v>
      </c>
      <c r="L186" s="62"/>
      <c r="M186" s="62"/>
      <c r="N186" s="61" t="n">
        <v>2</v>
      </c>
      <c r="O186" s="62" t="n">
        <f aca="false">P186+Q186</f>
        <v>0</v>
      </c>
      <c r="P186" s="62"/>
      <c r="Q186" s="63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.75" hidden="false" customHeight="true" outlineLevel="0" collapsed="false">
      <c r="A187" s="54"/>
      <c r="B187" s="55"/>
      <c r="C187" s="55"/>
      <c r="D187" s="55"/>
      <c r="E187" s="55"/>
      <c r="F187" s="26"/>
      <c r="G187" s="27" t="s">
        <v>26</v>
      </c>
      <c r="H187" s="117" t="n">
        <v>5</v>
      </c>
      <c r="I187" s="58"/>
      <c r="J187" s="58"/>
      <c r="K187" s="59" t="n">
        <f aca="false">L187+M187</f>
        <v>0</v>
      </c>
      <c r="L187" s="59"/>
      <c r="M187" s="59"/>
      <c r="N187" s="58" t="n">
        <v>4</v>
      </c>
      <c r="O187" s="59" t="n">
        <f aca="false">P187+Q187</f>
        <v>0</v>
      </c>
      <c r="P187" s="59"/>
      <c r="Q187" s="98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" hidden="false" customHeight="true" outlineLevel="0" collapsed="false">
      <c r="A188" s="17"/>
      <c r="B188" s="18" t="s">
        <v>148</v>
      </c>
      <c r="C188" s="19" t="s">
        <v>20</v>
      </c>
      <c r="D188" s="19"/>
      <c r="E188" s="19" t="s">
        <v>21</v>
      </c>
      <c r="F188" s="22"/>
      <c r="G188" s="21" t="s">
        <v>22</v>
      </c>
      <c r="H188" s="114" t="n">
        <v>1</v>
      </c>
      <c r="I188" s="67"/>
      <c r="J188" s="67"/>
      <c r="K188" s="68" t="n">
        <f aca="false">L188+M188</f>
        <v>0</v>
      </c>
      <c r="L188" s="68"/>
      <c r="M188" s="68"/>
      <c r="N188" s="67"/>
      <c r="O188" s="68" t="n">
        <f aca="false">P188+Q188</f>
        <v>0</v>
      </c>
      <c r="P188" s="68"/>
      <c r="Q188" s="69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26"/>
      <c r="G189" s="27" t="s">
        <v>23</v>
      </c>
      <c r="H189" s="117" t="n">
        <v>2</v>
      </c>
      <c r="I189" s="58"/>
      <c r="J189" s="58"/>
      <c r="K189" s="59" t="n">
        <f aca="false">L189+M189</f>
        <v>0</v>
      </c>
      <c r="L189" s="59"/>
      <c r="M189" s="59"/>
      <c r="N189" s="58"/>
      <c r="O189" s="59" t="n">
        <f aca="false">P189+Q189</f>
        <v>0</v>
      </c>
      <c r="P189" s="59"/>
      <c r="Q189" s="60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.75" hidden="false" customHeight="true" outlineLevel="0" collapsed="false">
      <c r="A190" s="99"/>
      <c r="B190" s="100" t="s">
        <v>149</v>
      </c>
      <c r="C190" s="100"/>
      <c r="D190" s="100"/>
      <c r="E190" s="100"/>
      <c r="F190" s="100"/>
      <c r="G190" s="100"/>
      <c r="H190" s="100" t="n">
        <f aca="false">SUM(H9:H189)</f>
        <v>443</v>
      </c>
      <c r="I190" s="100" t="n">
        <f aca="false">SUM(I9:I189)</f>
        <v>156</v>
      </c>
      <c r="J190" s="100" t="n">
        <f aca="false">SUM(J9:J189)</f>
        <v>165</v>
      </c>
      <c r="K190" s="101" t="n">
        <f aca="false">SUM(K9:K189)</f>
        <v>0</v>
      </c>
      <c r="L190" s="101" t="n">
        <f aca="false">SUM(L9:L189)</f>
        <v>0</v>
      </c>
      <c r="M190" s="102" t="n">
        <f aca="false">SUM(M9:M189)</f>
        <v>0</v>
      </c>
      <c r="N190" s="100" t="n">
        <f aca="false">SUM(N9:N189)</f>
        <v>293</v>
      </c>
      <c r="O190" s="102" t="n">
        <f aca="false">SUM(O9:O189)</f>
        <v>0</v>
      </c>
      <c r="P190" s="102" t="n">
        <f aca="false">SUM(P9:P189)</f>
        <v>0</v>
      </c>
      <c r="Q190" s="102" t="n">
        <f aca="false">SUM(Q9:Q189)</f>
        <v>0</v>
      </c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" hidden="false" customHeight="false" outlineLevel="0" collapsed="false">
      <c r="A191" s="2"/>
      <c r="B191" s="2"/>
      <c r="C191" s="2"/>
      <c r="D191" s="2"/>
      <c r="E191" s="2"/>
      <c r="F191" s="2"/>
      <c r="G191" s="2"/>
      <c r="I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fals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" hidden="false" customHeight="fals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true" outlineLevel="0" collapsed="false">
      <c r="A194" s="2"/>
      <c r="B194" s="2"/>
      <c r="C194" s="2"/>
      <c r="D194" s="2"/>
      <c r="E194" s="2"/>
      <c r="F194" s="103"/>
      <c r="G194" s="104" t="s">
        <v>5</v>
      </c>
      <c r="H194" s="104"/>
      <c r="I194" s="104"/>
      <c r="J194" s="104"/>
      <c r="K194" s="104"/>
      <c r="L194" s="104"/>
      <c r="M194" s="104" t="s">
        <v>6</v>
      </c>
      <c r="N194" s="104"/>
      <c r="O194" s="104"/>
      <c r="P194" s="104"/>
      <c r="Q194" s="105" t="s">
        <v>150</v>
      </c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" hidden="false" customHeight="false" outlineLevel="0" collapsed="false">
      <c r="A195" s="2"/>
      <c r="B195" s="2"/>
      <c r="C195" s="2"/>
      <c r="D195" s="2"/>
      <c r="E195" s="2"/>
      <c r="F195" s="103"/>
      <c r="G195" s="106" t="s">
        <v>13</v>
      </c>
      <c r="H195" s="106" t="s">
        <v>14</v>
      </c>
      <c r="I195" s="106" t="s">
        <v>15</v>
      </c>
      <c r="J195" s="106" t="s">
        <v>16</v>
      </c>
      <c r="K195" s="106" t="s">
        <v>17</v>
      </c>
      <c r="L195" s="106" t="s">
        <v>18</v>
      </c>
      <c r="M195" s="106" t="s">
        <v>15</v>
      </c>
      <c r="N195" s="106" t="s">
        <v>16</v>
      </c>
      <c r="O195" s="106" t="s">
        <v>17</v>
      </c>
      <c r="P195" s="106" t="s">
        <v>18</v>
      </c>
      <c r="Q195" s="105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" hidden="false" customHeight="false" outlineLevel="0" collapsed="false">
      <c r="A196" s="2"/>
      <c r="B196" s="2"/>
      <c r="C196" s="2"/>
      <c r="D196" s="2"/>
      <c r="E196" s="2"/>
      <c r="F196" s="107" t="s">
        <v>22</v>
      </c>
      <c r="G196" s="108" t="n">
        <f aca="false">SUMIF($G$9:$G$189,$F$196,H9:H189)</f>
        <v>290</v>
      </c>
      <c r="H196" s="108" t="n">
        <f aca="false">SUMIF($G$9:$G$189,$F$196,I9:I189)</f>
        <v>122</v>
      </c>
      <c r="I196" s="108" t="n">
        <f aca="false">SUMIF($G$9:$G$189,$F$196,J9:J189)</f>
        <v>131</v>
      </c>
      <c r="J196" s="109" t="n">
        <f aca="false">SUMIF($G$9:$G$189,$F$196,K9:K189)</f>
        <v>0</v>
      </c>
      <c r="K196" s="109" t="n">
        <f aca="false">SUMIF($G$9:$G$189,$F$196,L9:L189)</f>
        <v>0</v>
      </c>
      <c r="L196" s="109" t="n">
        <f aca="false">SUMIF($G$9:$G$189,$F$196,M9:M189)</f>
        <v>0</v>
      </c>
      <c r="M196" s="108" t="n">
        <f aca="false">SUMIF($G$9:$G$189,$F$196,N9:N189)</f>
        <v>210</v>
      </c>
      <c r="N196" s="109" t="n">
        <f aca="false">SUMIF($G$9:$G$189,$F$196,O9:O189)</f>
        <v>0</v>
      </c>
      <c r="O196" s="109" t="n">
        <f aca="false">SUMIF($G$9:$G$189,$F$196,P9:P189)</f>
        <v>0</v>
      </c>
      <c r="P196" s="109" t="n">
        <f aca="false">SUMIF($G$9:$G$189,$F$196,Q9:Q189)</f>
        <v>0</v>
      </c>
      <c r="Q196" s="110" t="n">
        <f aca="false">O196+K196</f>
        <v>0</v>
      </c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" hidden="false" customHeight="false" outlineLevel="0" collapsed="false">
      <c r="A197" s="2"/>
      <c r="B197" s="2"/>
      <c r="C197" s="2"/>
      <c r="D197" s="2"/>
      <c r="E197" s="2"/>
      <c r="F197" s="107" t="s">
        <v>26</v>
      </c>
      <c r="G197" s="108" t="n">
        <f aca="false">SUMIF($G$9:$G$189,$F$197,H9:H189)</f>
        <v>97</v>
      </c>
      <c r="H197" s="108" t="n">
        <f aca="false">SUMIF($G$9:$G$189,$F$197,I9:I189)</f>
        <v>5</v>
      </c>
      <c r="I197" s="108" t="n">
        <f aca="false">SUMIF($G$9:$G$189,$F$197,J9:J189)</f>
        <v>5</v>
      </c>
      <c r="J197" s="109" t="n">
        <f aca="false">SUMIF($G$9:$G$189,$F$197,K9:K189)</f>
        <v>0</v>
      </c>
      <c r="K197" s="109" t="n">
        <f aca="false">SUMIF($G$9:$G$189,$F$197,L9:L189)</f>
        <v>0</v>
      </c>
      <c r="L197" s="109" t="n">
        <f aca="false">SUMIF($G$9:$G$189,$F$197,M9:M189)</f>
        <v>0</v>
      </c>
      <c r="M197" s="108" t="n">
        <f aca="false">SUMIF($G$9:$G$189,$F$197,N9:N189)</f>
        <v>76</v>
      </c>
      <c r="N197" s="109" t="n">
        <f aca="false">SUMIF($G$9:$G$189,$F$197,O9:O189)</f>
        <v>0</v>
      </c>
      <c r="O197" s="109" t="n">
        <f aca="false">SUMIF($G$9:$G$189,$F$197,P9:P189)</f>
        <v>0</v>
      </c>
      <c r="P197" s="109" t="n">
        <f aca="false">SUMIF($G$9:$G$189,$F$197,Q9:Q189)</f>
        <v>0</v>
      </c>
      <c r="Q197" s="110" t="n">
        <f aca="false">O197+K197</f>
        <v>0</v>
      </c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false" outlineLevel="0" collapsed="false">
      <c r="A198" s="2"/>
      <c r="B198" s="2"/>
      <c r="C198" s="2"/>
      <c r="D198" s="2"/>
      <c r="E198" s="2"/>
      <c r="F198" s="107" t="s">
        <v>23</v>
      </c>
      <c r="G198" s="108" t="n">
        <f aca="false">SUMIF($G$9:$G$189,$F$198,H9:H189)</f>
        <v>56</v>
      </c>
      <c r="H198" s="108" t="n">
        <f aca="false">SUMIF($G$9:$G$189,$F$198,I9:I189)</f>
        <v>29</v>
      </c>
      <c r="I198" s="108" t="n">
        <f aca="false">SUMIF($G$9:$G$189,$F$198,J9:J189)</f>
        <v>29</v>
      </c>
      <c r="J198" s="109" t="n">
        <f aca="false">SUMIF($G$9:$G$189,$F$198,K9:K189)</f>
        <v>0</v>
      </c>
      <c r="K198" s="109" t="n">
        <f aca="false">SUMIF($G$9:$G$189,$F$198,L9:L189)</f>
        <v>0</v>
      </c>
      <c r="L198" s="109" t="n">
        <f aca="false">SUMIF($G$9:$G$189,$F$198,M9:M189)</f>
        <v>0</v>
      </c>
      <c r="M198" s="108" t="n">
        <f aca="false">SUMIF($G$9:$G$189,$F$198,N9:N189)</f>
        <v>7</v>
      </c>
      <c r="N198" s="109" t="n">
        <f aca="false">SUMIF($G$9:$G$189,$F$198,O9:O189)</f>
        <v>0</v>
      </c>
      <c r="O198" s="109" t="n">
        <f aca="false">SUMIF($G$9:$G$189,$F$198,P9:P189)</f>
        <v>0</v>
      </c>
      <c r="P198" s="109" t="n">
        <f aca="false">SUMIF($G$9:$G$189,$F$198,Q9:Q189)</f>
        <v>0</v>
      </c>
      <c r="Q198" s="110" t="n">
        <f aca="false">O198+K198</f>
        <v>0</v>
      </c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" hidden="false" customHeight="fals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111" t="n">
        <f aca="false">Q198+Q197+Q196</f>
        <v>0</v>
      </c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" hidden="false" customHeight="fals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fals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customFormat="false" ht="1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customFormat="false" ht="1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customFormat="false" ht="1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customFormat="false" ht="1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customFormat="false" ht="1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customFormat="false" ht="1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</sheetData>
  <mergeCells count="445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9"/>
    <mergeCell ref="B77:B79"/>
    <mergeCell ref="C77:C79"/>
    <mergeCell ref="D77:D79"/>
    <mergeCell ref="E77:E79"/>
    <mergeCell ref="A80:A81"/>
    <mergeCell ref="B80:B81"/>
    <mergeCell ref="C80:C81"/>
    <mergeCell ref="D80:D81"/>
    <mergeCell ref="E80:E81"/>
    <mergeCell ref="A82:A83"/>
    <mergeCell ref="B82:B83"/>
    <mergeCell ref="C82:C83"/>
    <mergeCell ref="D82:D83"/>
    <mergeCell ref="E82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1"/>
    <mergeCell ref="B90:B91"/>
    <mergeCell ref="C90:C91"/>
    <mergeCell ref="D90:D91"/>
    <mergeCell ref="E90:E91"/>
    <mergeCell ref="A92:A93"/>
    <mergeCell ref="B92:B93"/>
    <mergeCell ref="C92:C93"/>
    <mergeCell ref="D92:D93"/>
    <mergeCell ref="E92:E93"/>
    <mergeCell ref="A94:A95"/>
    <mergeCell ref="B94:B95"/>
    <mergeCell ref="C94:C95"/>
    <mergeCell ref="D94:D95"/>
    <mergeCell ref="E94:E95"/>
    <mergeCell ref="A96:A98"/>
    <mergeCell ref="B96:B98"/>
    <mergeCell ref="C96:C98"/>
    <mergeCell ref="D96:D98"/>
    <mergeCell ref="E96:E98"/>
    <mergeCell ref="A99:A100"/>
    <mergeCell ref="B99:B100"/>
    <mergeCell ref="C99:C100"/>
    <mergeCell ref="D99:D100"/>
    <mergeCell ref="E99:E100"/>
    <mergeCell ref="A101:A102"/>
    <mergeCell ref="B101:B102"/>
    <mergeCell ref="C101:C102"/>
    <mergeCell ref="D101:D102"/>
    <mergeCell ref="E101:E102"/>
    <mergeCell ref="A103:A104"/>
    <mergeCell ref="B103:B104"/>
    <mergeCell ref="C103:C104"/>
    <mergeCell ref="D103:D104"/>
    <mergeCell ref="E103:E104"/>
    <mergeCell ref="A105:A106"/>
    <mergeCell ref="B105:B106"/>
    <mergeCell ref="C105:C106"/>
    <mergeCell ref="D105:D106"/>
    <mergeCell ref="E105:E106"/>
    <mergeCell ref="A107:A109"/>
    <mergeCell ref="B107:B109"/>
    <mergeCell ref="C107:C109"/>
    <mergeCell ref="D107:D109"/>
    <mergeCell ref="E107:E109"/>
    <mergeCell ref="A110:A112"/>
    <mergeCell ref="B110:B112"/>
    <mergeCell ref="C110:C112"/>
    <mergeCell ref="D110:D112"/>
    <mergeCell ref="E110:E112"/>
    <mergeCell ref="A113:A114"/>
    <mergeCell ref="B113:B114"/>
    <mergeCell ref="C113:C114"/>
    <mergeCell ref="D113:D114"/>
    <mergeCell ref="E113:E114"/>
    <mergeCell ref="A115:A116"/>
    <mergeCell ref="B115:B116"/>
    <mergeCell ref="C115:C116"/>
    <mergeCell ref="D115:D116"/>
    <mergeCell ref="E115:E116"/>
    <mergeCell ref="A117:A118"/>
    <mergeCell ref="B117:B118"/>
    <mergeCell ref="C117:C118"/>
    <mergeCell ref="D117:D118"/>
    <mergeCell ref="E117:E118"/>
    <mergeCell ref="A119:A120"/>
    <mergeCell ref="B119:B120"/>
    <mergeCell ref="C119:C120"/>
    <mergeCell ref="D119:D120"/>
    <mergeCell ref="E119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A135:A137"/>
    <mergeCell ref="B135:B137"/>
    <mergeCell ref="C135:C137"/>
    <mergeCell ref="D135:D137"/>
    <mergeCell ref="E135:E137"/>
    <mergeCell ref="A138:A139"/>
    <mergeCell ref="B138:B139"/>
    <mergeCell ref="C138:C139"/>
    <mergeCell ref="D138:D139"/>
    <mergeCell ref="E138:E139"/>
    <mergeCell ref="A140:A141"/>
    <mergeCell ref="B140:B141"/>
    <mergeCell ref="C140:C141"/>
    <mergeCell ref="D140:D141"/>
    <mergeCell ref="E140:E141"/>
    <mergeCell ref="B142:B143"/>
    <mergeCell ref="A144:A145"/>
    <mergeCell ref="B144:B145"/>
    <mergeCell ref="C144:C145"/>
    <mergeCell ref="D144:D145"/>
    <mergeCell ref="E144:E145"/>
    <mergeCell ref="A146:A147"/>
    <mergeCell ref="B146:B147"/>
    <mergeCell ref="C146:C147"/>
    <mergeCell ref="D146:D147"/>
    <mergeCell ref="E146:E147"/>
    <mergeCell ref="A148:A149"/>
    <mergeCell ref="B148:B149"/>
    <mergeCell ref="C148:C149"/>
    <mergeCell ref="D148:D149"/>
    <mergeCell ref="E148:E149"/>
    <mergeCell ref="A150:A151"/>
    <mergeCell ref="B150:B151"/>
    <mergeCell ref="C150:C151"/>
    <mergeCell ref="D150:D151"/>
    <mergeCell ref="E150:E151"/>
    <mergeCell ref="A152:A153"/>
    <mergeCell ref="B152:B153"/>
    <mergeCell ref="C152:C153"/>
    <mergeCell ref="D152:D153"/>
    <mergeCell ref="E152:E153"/>
    <mergeCell ref="A154:A155"/>
    <mergeCell ref="B154:B155"/>
    <mergeCell ref="C154:C155"/>
    <mergeCell ref="D154:D155"/>
    <mergeCell ref="E154:E155"/>
    <mergeCell ref="A156:A157"/>
    <mergeCell ref="B156:B157"/>
    <mergeCell ref="C156:C157"/>
    <mergeCell ref="D156:D157"/>
    <mergeCell ref="E156:E157"/>
    <mergeCell ref="A158:A159"/>
    <mergeCell ref="B158:B159"/>
    <mergeCell ref="C158:C159"/>
    <mergeCell ref="D158:D159"/>
    <mergeCell ref="E158:E159"/>
    <mergeCell ref="A160:A161"/>
    <mergeCell ref="B160:B161"/>
    <mergeCell ref="C160:C161"/>
    <mergeCell ref="D160:D161"/>
    <mergeCell ref="E160:E161"/>
    <mergeCell ref="A162:A163"/>
    <mergeCell ref="B162:B163"/>
    <mergeCell ref="C162:C163"/>
    <mergeCell ref="D162:D163"/>
    <mergeCell ref="E162:E163"/>
    <mergeCell ref="A164:A165"/>
    <mergeCell ref="B164:B165"/>
    <mergeCell ref="C164:C165"/>
    <mergeCell ref="D164:D165"/>
    <mergeCell ref="E164:E165"/>
    <mergeCell ref="A166:A167"/>
    <mergeCell ref="B166:B167"/>
    <mergeCell ref="C166:C167"/>
    <mergeCell ref="D166:D167"/>
    <mergeCell ref="E166:E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F194:F195"/>
    <mergeCell ref="G194:L194"/>
    <mergeCell ref="M194:P194"/>
    <mergeCell ref="Q194:Q195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4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112" t="n">
        <v>3</v>
      </c>
      <c r="I9" s="23"/>
      <c r="J9" s="23"/>
      <c r="K9" s="24" t="n">
        <f aca="false">L9+M9</f>
        <v>0</v>
      </c>
      <c r="L9" s="24"/>
      <c r="M9" s="24"/>
      <c r="N9" s="23" t="n">
        <v>4</v>
      </c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118" t="n">
        <v>1</v>
      </c>
      <c r="I10" s="28"/>
      <c r="J10" s="28"/>
      <c r="K10" s="29" t="n">
        <f aca="false">L10+M10</f>
        <v>0</v>
      </c>
      <c r="L10" s="29"/>
      <c r="M10" s="30"/>
      <c r="N10" s="28" t="n">
        <v>1</v>
      </c>
      <c r="O10" s="29" t="n">
        <v>776.7</v>
      </c>
      <c r="P10" s="29"/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114" t="n">
        <v>8</v>
      </c>
      <c r="I11" s="39" t="n">
        <v>5</v>
      </c>
      <c r="J11" s="39" t="n">
        <v>5</v>
      </c>
      <c r="K11" s="40" t="n">
        <f aca="false">L11+M11</f>
        <v>0</v>
      </c>
      <c r="L11" s="40"/>
      <c r="M11" s="40"/>
      <c r="N11" s="39" t="n">
        <v>3</v>
      </c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115"/>
      <c r="I12" s="44"/>
      <c r="J12" s="45"/>
      <c r="K12" s="46" t="n">
        <f aca="false">L12+M12</f>
        <v>0</v>
      </c>
      <c r="L12" s="47"/>
      <c r="M12" s="47"/>
      <c r="N12" s="45"/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114" t="n">
        <v>10</v>
      </c>
      <c r="I13" s="23" t="n">
        <v>6</v>
      </c>
      <c r="J13" s="23" t="n">
        <v>7</v>
      </c>
      <c r="K13" s="24" t="n">
        <f aca="false">L13+M13</f>
        <v>0</v>
      </c>
      <c r="L13" s="24"/>
      <c r="M13" s="24"/>
      <c r="N13" s="23" t="n">
        <v>2</v>
      </c>
      <c r="O13" s="24" t="n">
        <f aca="false">P13+Q13</f>
        <v>2748.72</v>
      </c>
      <c r="P13" s="24" t="n">
        <v>2748.72</v>
      </c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27" t="s">
        <v>26</v>
      </c>
      <c r="H14" s="115"/>
      <c r="I14" s="28"/>
      <c r="J14" s="28"/>
      <c r="K14" s="29" t="n">
        <v>3692.1</v>
      </c>
      <c r="L14" s="29" t="n">
        <v>3692.1</v>
      </c>
      <c r="M14" s="30"/>
      <c r="N14" s="28" t="n">
        <v>2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21" t="s">
        <v>22</v>
      </c>
      <c r="H15" s="116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52" t="s">
        <v>26</v>
      </c>
      <c r="H16" s="117" t="n">
        <v>2</v>
      </c>
      <c r="I16" s="45"/>
      <c r="J16" s="45"/>
      <c r="K16" s="46" t="n">
        <f aca="false">L16+M16</f>
        <v>0</v>
      </c>
      <c r="L16" s="46"/>
      <c r="M16" s="47"/>
      <c r="N16" s="45" t="n">
        <v>2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114" t="n">
        <v>4</v>
      </c>
      <c r="I17" s="23" t="n">
        <v>1</v>
      </c>
      <c r="J17" s="23" t="n">
        <v>1</v>
      </c>
      <c r="K17" s="24" t="n">
        <f aca="false">L17+M17</f>
        <v>0</v>
      </c>
      <c r="L17" s="24"/>
      <c r="M17" s="24"/>
      <c r="N17" s="23" t="n">
        <v>10</v>
      </c>
      <c r="O17" s="24" t="n">
        <f aca="false">P17+Q17</f>
        <v>9903.11</v>
      </c>
      <c r="P17" s="24" t="n">
        <v>9903.11</v>
      </c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117" t="n">
        <v>2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114" t="n">
        <v>14</v>
      </c>
      <c r="I19" s="39" t="n">
        <v>8</v>
      </c>
      <c r="J19" s="39" t="n">
        <v>9</v>
      </c>
      <c r="K19" s="40" t="n">
        <f aca="false">L19+M19</f>
        <v>7998.6</v>
      </c>
      <c r="L19" s="40" t="n">
        <v>7998.6</v>
      </c>
      <c r="M19" s="40"/>
      <c r="N19" s="39" t="n">
        <v>8</v>
      </c>
      <c r="O19" s="40" t="n">
        <f aca="false">P19+Q19</f>
        <v>13470.86</v>
      </c>
      <c r="P19" s="40" t="n">
        <v>13470.86</v>
      </c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71"/>
      <c r="G20" s="43" t="s">
        <v>23</v>
      </c>
      <c r="H20" s="126" t="n">
        <v>2</v>
      </c>
      <c r="I20" s="64"/>
      <c r="J20" s="64"/>
      <c r="K20" s="65" t="n">
        <f aca="false">L20+M20</f>
        <v>0</v>
      </c>
      <c r="L20" s="65"/>
      <c r="M20" s="65"/>
      <c r="N20" s="64"/>
      <c r="O20" s="65" t="n">
        <f aca="false">P20+Q20</f>
        <v>0</v>
      </c>
      <c r="P20" s="65"/>
      <c r="Q20" s="66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17"/>
      <c r="B21" s="18" t="s">
        <v>162</v>
      </c>
      <c r="C21" s="19"/>
      <c r="D21" s="19"/>
      <c r="E21" s="19"/>
      <c r="F21" s="20"/>
      <c r="G21" s="21" t="s">
        <v>22</v>
      </c>
      <c r="H21" s="125" t="n">
        <v>1</v>
      </c>
      <c r="I21" s="67"/>
      <c r="J21" s="67"/>
      <c r="K21" s="68" t="n">
        <f aca="false">L21+M21</f>
        <v>0</v>
      </c>
      <c r="L21" s="68"/>
      <c r="M21" s="68"/>
      <c r="N21" s="67"/>
      <c r="O21" s="68" t="n">
        <f aca="false">P21+Q21</f>
        <v>0</v>
      </c>
      <c r="P21" s="68"/>
      <c r="Q21" s="69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17"/>
      <c r="B22" s="18"/>
      <c r="C22" s="18"/>
      <c r="D22" s="18"/>
      <c r="E22" s="18"/>
      <c r="F22" s="57"/>
      <c r="G22" s="27" t="s">
        <v>26</v>
      </c>
      <c r="H22" s="86"/>
      <c r="I22" s="58"/>
      <c r="J22" s="58"/>
      <c r="K22" s="59" t="n">
        <f aca="false">L22+M22</f>
        <v>0</v>
      </c>
      <c r="L22" s="59"/>
      <c r="M22" s="59"/>
      <c r="N22" s="58"/>
      <c r="O22" s="59" t="n">
        <f aca="false">P22+Q22</f>
        <v>0</v>
      </c>
      <c r="P22" s="59"/>
      <c r="Q22" s="60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.75" hidden="false" customHeight="true" outlineLevel="0" collapsed="false">
      <c r="A23" s="33"/>
      <c r="B23" s="34" t="s">
        <v>36</v>
      </c>
      <c r="C23" s="35" t="s">
        <v>20</v>
      </c>
      <c r="D23" s="35"/>
      <c r="E23" s="35" t="s">
        <v>25</v>
      </c>
      <c r="F23" s="36"/>
      <c r="G23" s="37" t="s">
        <v>22</v>
      </c>
      <c r="H23" s="114" t="n">
        <v>9</v>
      </c>
      <c r="I23" s="61" t="n">
        <v>5</v>
      </c>
      <c r="J23" s="61" t="n">
        <v>5</v>
      </c>
      <c r="K23" s="62" t="n">
        <f aca="false">L23+M23</f>
        <v>2803.78</v>
      </c>
      <c r="L23" s="62" t="n">
        <v>2803.78</v>
      </c>
      <c r="M23" s="62"/>
      <c r="N23" s="61" t="n">
        <v>5</v>
      </c>
      <c r="O23" s="62" t="n">
        <f aca="false">P23+Q23</f>
        <v>2343.46</v>
      </c>
      <c r="P23" s="62" t="n">
        <v>2343.46</v>
      </c>
      <c r="Q23" s="63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5.75" hidden="false" customHeight="true" outlineLevel="0" collapsed="false">
      <c r="A24" s="33"/>
      <c r="B24" s="34"/>
      <c r="C24" s="34"/>
      <c r="D24" s="34"/>
      <c r="E24" s="34"/>
      <c r="F24" s="42" t="s">
        <v>163</v>
      </c>
      <c r="G24" s="43" t="s">
        <v>26</v>
      </c>
      <c r="H24" s="118" t="n">
        <v>1</v>
      </c>
      <c r="I24" s="64"/>
      <c r="J24" s="64"/>
      <c r="K24" s="65" t="n">
        <f aca="false">L24+M24</f>
        <v>0</v>
      </c>
      <c r="L24" s="65"/>
      <c r="M24" s="65"/>
      <c r="N24" s="64" t="n">
        <v>2</v>
      </c>
      <c r="O24" s="65" t="n">
        <f aca="false">P24+Q24</f>
        <v>0</v>
      </c>
      <c r="P24" s="65"/>
      <c r="Q24" s="66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5" hidden="false" customHeight="true" outlineLevel="0" collapsed="false">
      <c r="A25" s="17"/>
      <c r="B25" s="18" t="s">
        <v>37</v>
      </c>
      <c r="C25" s="19" t="s">
        <v>38</v>
      </c>
      <c r="D25" s="19" t="s">
        <v>39</v>
      </c>
      <c r="E25" s="19" t="s">
        <v>25</v>
      </c>
      <c r="F25" s="22"/>
      <c r="G25" s="21" t="s">
        <v>22</v>
      </c>
      <c r="H25" s="114" t="n">
        <v>1</v>
      </c>
      <c r="I25" s="67"/>
      <c r="J25" s="67"/>
      <c r="K25" s="68" t="n">
        <f aca="false">L25+M25</f>
        <v>0</v>
      </c>
      <c r="L25" s="68"/>
      <c r="M25" s="68"/>
      <c r="N25" s="67" t="n">
        <v>3</v>
      </c>
      <c r="O25" s="68" t="n">
        <f aca="false">P25+Q25</f>
        <v>3202.02</v>
      </c>
      <c r="P25" s="68" t="n">
        <v>3202.02</v>
      </c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8.75" hidden="false" customHeight="true" outlineLevel="0" collapsed="false">
      <c r="A26" s="17"/>
      <c r="B26" s="18"/>
      <c r="C26" s="18"/>
      <c r="D26" s="18"/>
      <c r="E26" s="18"/>
      <c r="F26" s="42" t="s">
        <v>164</v>
      </c>
      <c r="G26" s="43" t="s">
        <v>26</v>
      </c>
      <c r="H26" s="122" t="n">
        <v>2</v>
      </c>
      <c r="I26" s="64"/>
      <c r="J26" s="64"/>
      <c r="K26" s="65" t="n">
        <f aca="false">L26+M26</f>
        <v>0</v>
      </c>
      <c r="L26" s="65"/>
      <c r="M26" s="65"/>
      <c r="N26" s="64" t="n">
        <v>3</v>
      </c>
      <c r="O26" s="65" t="n">
        <f aca="false">P26+Q26</f>
        <v>0</v>
      </c>
      <c r="P26" s="65"/>
      <c r="Q26" s="66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6.5" hidden="false" customHeight="true" outlineLevel="0" collapsed="false">
      <c r="A27" s="17"/>
      <c r="B27" s="18" t="s">
        <v>153</v>
      </c>
      <c r="C27" s="19"/>
      <c r="D27" s="19"/>
      <c r="E27" s="19"/>
      <c r="F27" s="20"/>
      <c r="G27" s="21" t="s">
        <v>22</v>
      </c>
      <c r="H27" s="112" t="n">
        <v>1</v>
      </c>
      <c r="I27" s="67"/>
      <c r="J27" s="67"/>
      <c r="K27" s="68" t="n">
        <f aca="false">L27+M27</f>
        <v>0</v>
      </c>
      <c r="L27" s="68"/>
      <c r="M27" s="68"/>
      <c r="N27" s="67"/>
      <c r="O27" s="68" t="n">
        <f aca="false">P27+Q27</f>
        <v>0</v>
      </c>
      <c r="P27" s="68"/>
      <c r="Q27" s="69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customFormat="false" ht="16.5" hidden="false" customHeight="true" outlineLevel="0" collapsed="false">
      <c r="A28" s="17"/>
      <c r="B28" s="18"/>
      <c r="C28" s="18"/>
      <c r="D28" s="18"/>
      <c r="E28" s="18"/>
      <c r="F28" s="57"/>
      <c r="G28" s="27" t="s">
        <v>23</v>
      </c>
      <c r="H28" s="123" t="n">
        <v>1</v>
      </c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6.5" hidden="false" customHeight="true" outlineLevel="0" collapsed="false">
      <c r="A29" s="54"/>
      <c r="B29" s="55" t="s">
        <v>40</v>
      </c>
      <c r="C29" s="56" t="s">
        <v>38</v>
      </c>
      <c r="D29" s="56" t="s">
        <v>41</v>
      </c>
      <c r="E29" s="56" t="s">
        <v>42</v>
      </c>
      <c r="F29" s="36"/>
      <c r="G29" s="37" t="s">
        <v>22</v>
      </c>
      <c r="H29" s="116"/>
      <c r="I29" s="61"/>
      <c r="J29" s="61"/>
      <c r="K29" s="62" t="n">
        <f aca="false">L29+M29</f>
        <v>0</v>
      </c>
      <c r="L29" s="62"/>
      <c r="M29" s="62"/>
      <c r="N29" s="61"/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6.5" hidden="false" customHeight="true" outlineLevel="0" collapsed="false">
      <c r="A30" s="54"/>
      <c r="B30" s="55"/>
      <c r="C30" s="55"/>
      <c r="D30" s="55"/>
      <c r="E30" s="55"/>
      <c r="F30" s="57"/>
      <c r="G30" s="27" t="s">
        <v>23</v>
      </c>
      <c r="H30" s="115"/>
      <c r="I30" s="58"/>
      <c r="J30" s="58"/>
      <c r="K30" s="59" t="n">
        <f aca="false">L30+M30</f>
        <v>0</v>
      </c>
      <c r="L30" s="59"/>
      <c r="M30" s="59"/>
      <c r="N30" s="58"/>
      <c r="O30" s="59" t="n">
        <f aca="false">P30+Q30</f>
        <v>0</v>
      </c>
      <c r="P30" s="59"/>
      <c r="Q30" s="60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54"/>
      <c r="B31" s="55" t="s">
        <v>43</v>
      </c>
      <c r="C31" s="56" t="s">
        <v>33</v>
      </c>
      <c r="D31" s="56" t="s">
        <v>44</v>
      </c>
      <c r="E31" s="56" t="s">
        <v>45</v>
      </c>
      <c r="F31" s="36"/>
      <c r="G31" s="21" t="s">
        <v>22</v>
      </c>
      <c r="H31" s="114" t="n">
        <v>5</v>
      </c>
      <c r="I31" s="61" t="n">
        <v>3</v>
      </c>
      <c r="J31" s="61" t="n">
        <v>3</v>
      </c>
      <c r="K31" s="62" t="n">
        <v>4815.55</v>
      </c>
      <c r="L31" s="62" t="n">
        <v>4815.55</v>
      </c>
      <c r="M31" s="62"/>
      <c r="N31" s="61" t="n">
        <v>7</v>
      </c>
      <c r="O31" s="62" t="n">
        <f aca="false">P31+Q31</f>
        <v>17818.29</v>
      </c>
      <c r="P31" s="62" t="n">
        <v>17818.29</v>
      </c>
      <c r="Q31" s="63"/>
      <c r="R31" s="70"/>
      <c r="S31" s="70"/>
      <c r="T31" s="70"/>
      <c r="U31" s="70"/>
      <c r="V31" s="70"/>
      <c r="W31" s="70"/>
      <c r="X31" s="70"/>
      <c r="Y31" s="70"/>
      <c r="Z31" s="70"/>
      <c r="AA31" s="70"/>
    </row>
    <row r="32" customFormat="false" ht="15.75" hidden="false" customHeight="true" outlineLevel="0" collapsed="false">
      <c r="A32" s="54"/>
      <c r="B32" s="55"/>
      <c r="C32" s="55"/>
      <c r="D32" s="55"/>
      <c r="E32" s="55"/>
      <c r="F32" s="26" t="s">
        <v>165</v>
      </c>
      <c r="G32" s="27" t="s">
        <v>26</v>
      </c>
      <c r="H32" s="115"/>
      <c r="I32" s="58"/>
      <c r="J32" s="58"/>
      <c r="K32" s="59" t="n">
        <f aca="false">L32+M32</f>
        <v>0</v>
      </c>
      <c r="L32" s="59"/>
      <c r="M32" s="59"/>
      <c r="N32" s="58" t="n">
        <v>2</v>
      </c>
      <c r="O32" s="59" t="n">
        <f aca="false">P32+Q32</f>
        <v>0</v>
      </c>
      <c r="P32" s="59"/>
      <c r="Q32" s="60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" hidden="false" customHeight="true" outlineLevel="0" collapsed="false">
      <c r="A33" s="33"/>
      <c r="B33" s="34" t="s">
        <v>46</v>
      </c>
      <c r="C33" s="35" t="s">
        <v>20</v>
      </c>
      <c r="D33" s="35"/>
      <c r="E33" s="35" t="s">
        <v>25</v>
      </c>
      <c r="F33" s="36"/>
      <c r="G33" s="21" t="s">
        <v>22</v>
      </c>
      <c r="H33" s="114" t="n">
        <v>4</v>
      </c>
      <c r="I33" s="61" t="n">
        <v>2</v>
      </c>
      <c r="J33" s="61" t="n">
        <v>2</v>
      </c>
      <c r="K33" s="62" t="n">
        <f aca="false">L33+M33</f>
        <v>1924.1</v>
      </c>
      <c r="L33" s="62" t="n">
        <v>1924.1</v>
      </c>
      <c r="M33" s="62"/>
      <c r="N33" s="61" t="n">
        <v>10</v>
      </c>
      <c r="O33" s="62" t="n">
        <f aca="false">P33+Q33</f>
        <v>15233.45</v>
      </c>
      <c r="P33" s="62" t="n">
        <v>15233.45</v>
      </c>
      <c r="Q33" s="63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33"/>
      <c r="B34" s="34"/>
      <c r="C34" s="34"/>
      <c r="D34" s="34"/>
      <c r="E34" s="34"/>
      <c r="F34" s="71"/>
      <c r="G34" s="43" t="s">
        <v>26</v>
      </c>
      <c r="H34" s="115"/>
      <c r="I34" s="64"/>
      <c r="J34" s="64"/>
      <c r="K34" s="65" t="n">
        <f aca="false">L34+M34</f>
        <v>0</v>
      </c>
      <c r="L34" s="65"/>
      <c r="M34" s="65"/>
      <c r="N34" s="64"/>
      <c r="O34" s="65" t="n">
        <f aca="false">P34+Q34</f>
        <v>0</v>
      </c>
      <c r="P34" s="65"/>
      <c r="Q34" s="66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.75" hidden="false" customHeight="true" outlineLevel="0" collapsed="false">
      <c r="A35" s="72"/>
      <c r="B35" s="73" t="s">
        <v>47</v>
      </c>
      <c r="C35" s="74" t="s">
        <v>20</v>
      </c>
      <c r="D35" s="74" t="s">
        <v>166</v>
      </c>
      <c r="E35" s="75" t="s">
        <v>25</v>
      </c>
      <c r="F35" s="22"/>
      <c r="G35" s="21" t="s">
        <v>22</v>
      </c>
      <c r="H35" s="114" t="n">
        <v>1</v>
      </c>
      <c r="I35" s="67"/>
      <c r="J35" s="67"/>
      <c r="K35" s="68" t="n">
        <f aca="false">L35+M35</f>
        <v>0</v>
      </c>
      <c r="L35" s="68"/>
      <c r="M35" s="68"/>
      <c r="N35" s="67"/>
      <c r="O35" s="68" t="n">
        <f aca="false">P35+Q35</f>
        <v>0</v>
      </c>
      <c r="P35" s="68"/>
      <c r="Q35" s="69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72"/>
      <c r="B36" s="73"/>
      <c r="C36" s="73"/>
      <c r="D36" s="73"/>
      <c r="E36" s="75"/>
      <c r="F36" s="42" t="s">
        <v>167</v>
      </c>
      <c r="G36" s="43" t="s">
        <v>26</v>
      </c>
      <c r="H36" s="117" t="n">
        <v>3</v>
      </c>
      <c r="I36" s="64"/>
      <c r="J36" s="64"/>
      <c r="K36" s="65" t="n">
        <f aca="false">L36+M36</f>
        <v>0</v>
      </c>
      <c r="L36" s="65"/>
      <c r="M36" s="65"/>
      <c r="N36" s="64"/>
      <c r="O36" s="65" t="n">
        <f aca="false">P36+Q36</f>
        <v>0</v>
      </c>
      <c r="P36" s="65"/>
      <c r="Q36" s="66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.75" hidden="false" customHeight="true" outlineLevel="0" collapsed="false">
      <c r="A37" s="17"/>
      <c r="B37" s="18" t="s">
        <v>48</v>
      </c>
      <c r="C37" s="19" t="s">
        <v>20</v>
      </c>
      <c r="D37" s="19" t="s">
        <v>168</v>
      </c>
      <c r="E37" s="19" t="s">
        <v>25</v>
      </c>
      <c r="F37" s="20"/>
      <c r="G37" s="21" t="s">
        <v>22</v>
      </c>
      <c r="H37" s="116"/>
      <c r="I37" s="67"/>
      <c r="J37" s="67"/>
      <c r="K37" s="68" t="n">
        <f aca="false">L37+M37</f>
        <v>0</v>
      </c>
      <c r="L37" s="68"/>
      <c r="M37" s="68"/>
      <c r="N37" s="67" t="n">
        <v>2</v>
      </c>
      <c r="O37" s="68" t="n">
        <f aca="false">P37+Q37</f>
        <v>0</v>
      </c>
      <c r="P37" s="68"/>
      <c r="Q37" s="69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17"/>
      <c r="B38" s="18"/>
      <c r="C38" s="18"/>
      <c r="D38" s="18"/>
      <c r="E38" s="18"/>
      <c r="F38" s="26" t="s">
        <v>169</v>
      </c>
      <c r="G38" s="27" t="s">
        <v>26</v>
      </c>
      <c r="H38" s="118" t="n">
        <v>2</v>
      </c>
      <c r="I38" s="58"/>
      <c r="J38" s="58"/>
      <c r="K38" s="59" t="n">
        <v>528.6</v>
      </c>
      <c r="L38" s="59" t="n">
        <v>528.6</v>
      </c>
      <c r="M38" s="59"/>
      <c r="N38" s="58" t="n">
        <v>1</v>
      </c>
      <c r="O38" s="59" t="n">
        <f aca="false">P38+Q38</f>
        <v>0</v>
      </c>
      <c r="P38" s="59"/>
      <c r="Q38" s="60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54"/>
      <c r="B39" s="55" t="s">
        <v>49</v>
      </c>
      <c r="C39" s="56" t="s">
        <v>20</v>
      </c>
      <c r="D39" s="78"/>
      <c r="E39" s="56" t="s">
        <v>50</v>
      </c>
      <c r="F39" s="36"/>
      <c r="G39" s="21" t="s">
        <v>22</v>
      </c>
      <c r="H39" s="116"/>
      <c r="I39" s="61"/>
      <c r="J39" s="61"/>
      <c r="K39" s="62" t="n">
        <f aca="false">L39+M39</f>
        <v>0</v>
      </c>
      <c r="L39" s="62"/>
      <c r="M39" s="62"/>
      <c r="N39" s="61"/>
      <c r="O39" s="62" t="n">
        <f aca="false">P39+Q39</f>
        <v>0</v>
      </c>
      <c r="P39" s="62"/>
      <c r="Q39" s="63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57"/>
      <c r="G40" s="27" t="s">
        <v>26</v>
      </c>
      <c r="H40" s="115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51</v>
      </c>
      <c r="C41" s="35" t="s">
        <v>20</v>
      </c>
      <c r="D41" s="35"/>
      <c r="E41" s="35" t="s">
        <v>52</v>
      </c>
      <c r="F41" s="36"/>
      <c r="G41" s="21" t="s">
        <v>22</v>
      </c>
      <c r="H41" s="116"/>
      <c r="I41" s="61"/>
      <c r="J41" s="61"/>
      <c r="K41" s="62" t="n">
        <f aca="false">L41+M41</f>
        <v>0</v>
      </c>
      <c r="L41" s="62"/>
      <c r="M41" s="62"/>
      <c r="N41" s="61" t="n">
        <v>1</v>
      </c>
      <c r="O41" s="62" t="n">
        <f aca="false">P41+Q41</f>
        <v>5039.32</v>
      </c>
      <c r="P41" s="62" t="n">
        <v>5039.32</v>
      </c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43" t="s">
        <v>26</v>
      </c>
      <c r="H42" s="124"/>
      <c r="I42" s="64"/>
      <c r="J42" s="64"/>
      <c r="K42" s="65" t="n">
        <f aca="false">L42+M42</f>
        <v>0</v>
      </c>
      <c r="L42" s="65"/>
      <c r="M42" s="65"/>
      <c r="N42" s="64"/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" hidden="false" customHeight="true" outlineLevel="0" collapsed="false">
      <c r="A43" s="17"/>
      <c r="B43" s="18" t="s">
        <v>154</v>
      </c>
      <c r="C43" s="19"/>
      <c r="D43" s="19" t="s">
        <v>170</v>
      </c>
      <c r="E43" s="19"/>
      <c r="F43" s="20"/>
      <c r="G43" s="21" t="s">
        <v>22</v>
      </c>
      <c r="H43" s="125" t="n">
        <v>18</v>
      </c>
      <c r="I43" s="67"/>
      <c r="J43" s="67"/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" hidden="false" customHeight="false" outlineLevel="0" collapsed="false">
      <c r="A44" s="17"/>
      <c r="B44" s="18"/>
      <c r="C44" s="18"/>
      <c r="D44" s="18"/>
      <c r="E44" s="18"/>
      <c r="F44" s="26" t="s">
        <v>171</v>
      </c>
      <c r="G44" s="27" t="s">
        <v>26</v>
      </c>
      <c r="H44" s="86" t="n">
        <v>2</v>
      </c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54"/>
      <c r="B45" s="55" t="s">
        <v>53</v>
      </c>
      <c r="C45" s="56" t="s">
        <v>33</v>
      </c>
      <c r="D45" s="56" t="s">
        <v>54</v>
      </c>
      <c r="E45" s="56" t="s">
        <v>42</v>
      </c>
      <c r="F45" s="36"/>
      <c r="G45" s="37" t="s">
        <v>22</v>
      </c>
      <c r="H45" s="114" t="n">
        <v>8</v>
      </c>
      <c r="I45" s="61" t="n">
        <v>5</v>
      </c>
      <c r="J45" s="61" t="n">
        <v>5</v>
      </c>
      <c r="K45" s="62" t="n">
        <f aca="false">L45+M45</f>
        <v>1830.37</v>
      </c>
      <c r="L45" s="62" t="n">
        <v>1830.37</v>
      </c>
      <c r="M45" s="62"/>
      <c r="N45" s="61" t="n">
        <v>11</v>
      </c>
      <c r="O45" s="62" t="n">
        <f aca="false">P45+Q45</f>
        <v>34571.95</v>
      </c>
      <c r="P45" s="62" t="n">
        <v>34571.95</v>
      </c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54"/>
      <c r="B46" s="55"/>
      <c r="C46" s="55"/>
      <c r="D46" s="55"/>
      <c r="E46" s="55"/>
      <c r="F46" s="57"/>
      <c r="G46" s="27" t="s">
        <v>23</v>
      </c>
      <c r="H46" s="115"/>
      <c r="I46" s="58"/>
      <c r="J46" s="58"/>
      <c r="K46" s="59" t="n">
        <f aca="false">L46+M46</f>
        <v>0</v>
      </c>
      <c r="L46" s="59"/>
      <c r="M46" s="59"/>
      <c r="N46" s="58"/>
      <c r="O46" s="59" t="n">
        <f aca="false">P46+Q46</f>
        <v>0</v>
      </c>
      <c r="P46" s="59"/>
      <c r="Q46" s="60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33"/>
      <c r="B47" s="34" t="s">
        <v>55</v>
      </c>
      <c r="C47" s="35" t="s">
        <v>20</v>
      </c>
      <c r="D47" s="35"/>
      <c r="E47" s="35" t="s">
        <v>25</v>
      </c>
      <c r="F47" s="38"/>
      <c r="G47" s="21" t="s">
        <v>22</v>
      </c>
      <c r="H47" s="116"/>
      <c r="I47" s="61"/>
      <c r="J47" s="61"/>
      <c r="K47" s="62" t="n">
        <f aca="false">L47+M47</f>
        <v>0</v>
      </c>
      <c r="L47" s="62"/>
      <c r="M47" s="62"/>
      <c r="N47" s="61"/>
      <c r="O47" s="62" t="n">
        <f aca="false">P47+Q47</f>
        <v>0</v>
      </c>
      <c r="P47" s="62"/>
      <c r="Q47" s="63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33"/>
      <c r="B48" s="34"/>
      <c r="C48" s="34"/>
      <c r="D48" s="34"/>
      <c r="E48" s="34"/>
      <c r="F48" s="42" t="s">
        <v>172</v>
      </c>
      <c r="G48" s="43" t="s">
        <v>26</v>
      </c>
      <c r="H48" s="117" t="n">
        <v>2</v>
      </c>
      <c r="I48" s="64"/>
      <c r="J48" s="64"/>
      <c r="K48" s="65" t="n">
        <v>1409.6</v>
      </c>
      <c r="L48" s="65" t="n">
        <v>1409.6</v>
      </c>
      <c r="M48" s="65"/>
      <c r="N48" s="64" t="n">
        <v>5</v>
      </c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.75" hidden="false" customHeight="true" outlineLevel="0" collapsed="false">
      <c r="A49" s="17"/>
      <c r="B49" s="18" t="s">
        <v>56</v>
      </c>
      <c r="C49" s="19" t="s">
        <v>33</v>
      </c>
      <c r="D49" s="19" t="s">
        <v>57</v>
      </c>
      <c r="E49" s="19" t="s">
        <v>25</v>
      </c>
      <c r="F49" s="20"/>
      <c r="G49" s="21" t="s">
        <v>22</v>
      </c>
      <c r="H49" s="114" t="n">
        <v>1</v>
      </c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42"/>
      <c r="G50" s="43" t="s">
        <v>26</v>
      </c>
      <c r="H50" s="124"/>
      <c r="I50" s="64"/>
      <c r="J50" s="64"/>
      <c r="K50" s="65" t="n">
        <f aca="false">L50+M50</f>
        <v>0</v>
      </c>
      <c r="L50" s="65"/>
      <c r="M50" s="65"/>
      <c r="N50" s="64"/>
      <c r="O50" s="65" t="n">
        <f aca="false">P50+Q50</f>
        <v>0</v>
      </c>
      <c r="P50" s="65"/>
      <c r="Q50" s="66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" hidden="false" customHeight="true" outlineLevel="0" collapsed="false">
      <c r="A51" s="17"/>
      <c r="B51" s="18" t="s">
        <v>155</v>
      </c>
      <c r="C51" s="19"/>
      <c r="D51" s="19"/>
      <c r="E51" s="19"/>
      <c r="F51" s="20"/>
      <c r="G51" s="21" t="s">
        <v>22</v>
      </c>
      <c r="H51" s="125" t="n">
        <v>4</v>
      </c>
      <c r="I51" s="67"/>
      <c r="J51" s="67"/>
      <c r="K51" s="68" t="n">
        <f aca="false">L51+M51</f>
        <v>0</v>
      </c>
      <c r="L51" s="68"/>
      <c r="M51" s="68"/>
      <c r="N51" s="67"/>
      <c r="O51" s="68" t="n">
        <f aca="false">P51+Q51</f>
        <v>0</v>
      </c>
      <c r="P51" s="68"/>
      <c r="Q51" s="69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57"/>
      <c r="G52" s="27" t="s">
        <v>26</v>
      </c>
      <c r="H52" s="86"/>
      <c r="I52" s="58"/>
      <c r="J52" s="58"/>
      <c r="K52" s="59" t="n">
        <f aca="false">L52+M52</f>
        <v>0</v>
      </c>
      <c r="L52" s="59"/>
      <c r="M52" s="59"/>
      <c r="N52" s="58"/>
      <c r="O52" s="59" t="n">
        <f aca="false">P52+Q52</f>
        <v>0</v>
      </c>
      <c r="P52" s="59"/>
      <c r="Q52" s="60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" hidden="false" customHeight="true" outlineLevel="0" collapsed="false">
      <c r="A53" s="33"/>
      <c r="B53" s="34" t="s">
        <v>58</v>
      </c>
      <c r="C53" s="35" t="s">
        <v>20</v>
      </c>
      <c r="D53" s="35"/>
      <c r="E53" s="35" t="s">
        <v>52</v>
      </c>
      <c r="F53" s="36"/>
      <c r="G53" s="37" t="s">
        <v>22</v>
      </c>
      <c r="H53" s="114" t="n">
        <v>4</v>
      </c>
      <c r="I53" s="61"/>
      <c r="J53" s="61"/>
      <c r="K53" s="62" t="n">
        <f aca="false">L53+M53</f>
        <v>0</v>
      </c>
      <c r="L53" s="62"/>
      <c r="M53" s="62"/>
      <c r="N53" s="61" t="n">
        <v>2</v>
      </c>
      <c r="O53" s="62" t="n">
        <f aca="false">P53+Q53</f>
        <v>2459.75</v>
      </c>
      <c r="P53" s="62" t="n">
        <v>2459.75</v>
      </c>
      <c r="Q53" s="63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.75" hidden="false" customHeight="true" outlineLevel="0" collapsed="false">
      <c r="A54" s="33"/>
      <c r="B54" s="34"/>
      <c r="C54" s="34"/>
      <c r="D54" s="34"/>
      <c r="E54" s="34"/>
      <c r="F54" s="71"/>
      <c r="G54" s="43" t="s">
        <v>26</v>
      </c>
      <c r="H54" s="115"/>
      <c r="I54" s="64"/>
      <c r="J54" s="64"/>
      <c r="K54" s="65" t="n">
        <f aca="false">L54+M54</f>
        <v>0</v>
      </c>
      <c r="L54" s="65"/>
      <c r="M54" s="65"/>
      <c r="N54" s="64"/>
      <c r="O54" s="65" t="n">
        <f aca="false">P54+Q54</f>
        <v>0</v>
      </c>
      <c r="P54" s="65"/>
      <c r="Q54" s="66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72"/>
      <c r="B55" s="73" t="s">
        <v>59</v>
      </c>
      <c r="C55" s="74" t="s">
        <v>20</v>
      </c>
      <c r="D55" s="79"/>
      <c r="E55" s="74" t="s">
        <v>25</v>
      </c>
      <c r="F55" s="22"/>
      <c r="G55" s="21" t="s">
        <v>22</v>
      </c>
      <c r="H55" s="116"/>
      <c r="I55" s="67"/>
      <c r="J55" s="67"/>
      <c r="K55" s="68" t="n">
        <f aca="false">L55+M55</f>
        <v>0</v>
      </c>
      <c r="L55" s="68"/>
      <c r="M55" s="68"/>
      <c r="N55" s="67"/>
      <c r="O55" s="68" t="n">
        <f aca="false">P55+Q55</f>
        <v>0</v>
      </c>
      <c r="P55" s="68"/>
      <c r="Q55" s="69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72"/>
      <c r="B56" s="73"/>
      <c r="C56" s="73"/>
      <c r="D56" s="73"/>
      <c r="E56" s="73"/>
      <c r="F56" s="71"/>
      <c r="G56" s="43" t="s">
        <v>26</v>
      </c>
      <c r="H56" s="115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" hidden="false" customHeight="true" outlineLevel="0" collapsed="false">
      <c r="A57" s="17"/>
      <c r="B57" s="18" t="s">
        <v>60</v>
      </c>
      <c r="C57" s="19" t="s">
        <v>20</v>
      </c>
      <c r="D57" s="19"/>
      <c r="E57" s="19" t="s">
        <v>21</v>
      </c>
      <c r="F57" s="22"/>
      <c r="G57" s="21" t="s">
        <v>22</v>
      </c>
      <c r="H57" s="119" t="n">
        <v>1</v>
      </c>
      <c r="I57" s="67"/>
      <c r="J57" s="67"/>
      <c r="K57" s="68" t="n">
        <f aca="false">L57+M57</f>
        <v>0</v>
      </c>
      <c r="L57" s="68"/>
      <c r="M57" s="68"/>
      <c r="N57" s="67"/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.75" hidden="false" customHeight="true" outlineLevel="0" collapsed="false">
      <c r="A58" s="17"/>
      <c r="B58" s="18"/>
      <c r="C58" s="18"/>
      <c r="D58" s="18"/>
      <c r="E58" s="18"/>
      <c r="F58" s="57"/>
      <c r="G58" s="27" t="s">
        <v>23</v>
      </c>
      <c r="H58" s="115"/>
      <c r="I58" s="58"/>
      <c r="J58" s="58"/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.75" hidden="false" customHeight="true" outlineLevel="0" collapsed="false">
      <c r="A59" s="33"/>
      <c r="B59" s="34" t="s">
        <v>61</v>
      </c>
      <c r="C59" s="35" t="s">
        <v>33</v>
      </c>
      <c r="D59" s="56" t="s">
        <v>62</v>
      </c>
      <c r="E59" s="35" t="s">
        <v>25</v>
      </c>
      <c r="F59" s="36"/>
      <c r="G59" s="21" t="s">
        <v>22</v>
      </c>
      <c r="H59" s="114" t="n">
        <v>3</v>
      </c>
      <c r="I59" s="61" t="n">
        <v>1</v>
      </c>
      <c r="J59" s="61" t="n">
        <v>1</v>
      </c>
      <c r="K59" s="62" t="n">
        <f aca="false">L59+M59</f>
        <v>0</v>
      </c>
      <c r="L59" s="62"/>
      <c r="M59" s="62"/>
      <c r="N59" s="61" t="n">
        <v>1</v>
      </c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56"/>
      <c r="E60" s="35"/>
      <c r="F60" s="42" t="s">
        <v>173</v>
      </c>
      <c r="G60" s="43" t="s">
        <v>26</v>
      </c>
      <c r="H60" s="115"/>
      <c r="I60" s="64"/>
      <c r="J60" s="64"/>
      <c r="K60" s="65" t="n">
        <f aca="false">L60+M60</f>
        <v>0</v>
      </c>
      <c r="L60" s="65"/>
      <c r="M60" s="65"/>
      <c r="N60" s="64" t="n">
        <v>2</v>
      </c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.75" hidden="false" customHeight="true" outlineLevel="0" collapsed="false">
      <c r="A61" s="72"/>
      <c r="B61" s="73" t="s">
        <v>63</v>
      </c>
      <c r="C61" s="74" t="s">
        <v>20</v>
      </c>
      <c r="D61" s="74"/>
      <c r="E61" s="74" t="s">
        <v>25</v>
      </c>
      <c r="F61" s="20"/>
      <c r="G61" s="21" t="s">
        <v>22</v>
      </c>
      <c r="H61" s="119" t="n">
        <v>1</v>
      </c>
      <c r="I61" s="67"/>
      <c r="J61" s="67"/>
      <c r="K61" s="68" t="n">
        <f aca="false">L61+M61</f>
        <v>0</v>
      </c>
      <c r="L61" s="68"/>
      <c r="M61" s="68"/>
      <c r="N61" s="67" t="n">
        <v>3</v>
      </c>
      <c r="O61" s="68" t="n">
        <f aca="false">P61+Q61</f>
        <v>2616.57</v>
      </c>
      <c r="P61" s="68" t="n">
        <v>2616.57</v>
      </c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72"/>
      <c r="B62" s="73"/>
      <c r="C62" s="73"/>
      <c r="D62" s="73"/>
      <c r="E62" s="73"/>
      <c r="F62" s="42" t="s">
        <v>174</v>
      </c>
      <c r="G62" s="43" t="s">
        <v>26</v>
      </c>
      <c r="H62" s="115"/>
      <c r="I62" s="64"/>
      <c r="J62" s="64"/>
      <c r="K62" s="65" t="n">
        <f aca="false">L62+M62</f>
        <v>0</v>
      </c>
      <c r="L62" s="65"/>
      <c r="M62" s="65"/>
      <c r="N62" s="64"/>
      <c r="O62" s="65" t="n">
        <f aca="false">P62+Q62</f>
        <v>0</v>
      </c>
      <c r="P62" s="65"/>
      <c r="Q62" s="66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" hidden="false" customHeight="true" outlineLevel="0" collapsed="false">
      <c r="A63" s="72"/>
      <c r="B63" s="73" t="s">
        <v>64</v>
      </c>
      <c r="C63" s="74" t="s">
        <v>20</v>
      </c>
      <c r="D63" s="74"/>
      <c r="E63" s="74" t="s">
        <v>25</v>
      </c>
      <c r="F63" s="20"/>
      <c r="G63" s="21" t="s">
        <v>22</v>
      </c>
      <c r="H63" s="116"/>
      <c r="I63" s="67"/>
      <c r="J63" s="67"/>
      <c r="K63" s="68" t="n">
        <f aca="false">L63+M63</f>
        <v>0</v>
      </c>
      <c r="L63" s="68"/>
      <c r="M63" s="68"/>
      <c r="N63" s="67"/>
      <c r="O63" s="68" t="n">
        <f aca="false">P63+Q63</f>
        <v>0</v>
      </c>
      <c r="P63" s="68"/>
      <c r="Q63" s="69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72"/>
      <c r="B64" s="73"/>
      <c r="C64" s="73"/>
      <c r="D64" s="73"/>
      <c r="E64" s="73"/>
      <c r="F64" s="71"/>
      <c r="G64" s="43" t="s">
        <v>26</v>
      </c>
      <c r="H64" s="115"/>
      <c r="I64" s="64"/>
      <c r="J64" s="64"/>
      <c r="K64" s="65" t="n">
        <f aca="false">L64+M64</f>
        <v>0</v>
      </c>
      <c r="L64" s="65"/>
      <c r="M64" s="65"/>
      <c r="N64" s="64"/>
      <c r="O64" s="65" t="n">
        <f aca="false">P64+Q64</f>
        <v>0</v>
      </c>
      <c r="P64" s="65"/>
      <c r="Q64" s="66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.75" hidden="false" customHeight="true" outlineLevel="0" collapsed="false">
      <c r="A65" s="17"/>
      <c r="B65" s="18" t="s">
        <v>65</v>
      </c>
      <c r="C65" s="19" t="s">
        <v>33</v>
      </c>
      <c r="D65" s="19" t="s">
        <v>66</v>
      </c>
      <c r="E65" s="19" t="s">
        <v>67</v>
      </c>
      <c r="F65" s="20"/>
      <c r="G65" s="21" t="s">
        <v>22</v>
      </c>
      <c r="H65" s="114" t="n">
        <v>2</v>
      </c>
      <c r="I65" s="67" t="n">
        <v>2</v>
      </c>
      <c r="J65" s="67" t="n">
        <v>2</v>
      </c>
      <c r="K65" s="68" t="n">
        <f aca="false">L65+M65</f>
        <v>704.8</v>
      </c>
      <c r="L65" s="68" t="n">
        <v>704.8</v>
      </c>
      <c r="M65" s="68"/>
      <c r="N65" s="67" t="n">
        <v>7</v>
      </c>
      <c r="O65" s="68" t="n">
        <f aca="false">P65+Q65</f>
        <v>4384.96</v>
      </c>
      <c r="P65" s="68" t="n">
        <v>4384.96</v>
      </c>
      <c r="Q65" s="69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17"/>
      <c r="B66" s="18"/>
      <c r="C66" s="18"/>
      <c r="D66" s="18"/>
      <c r="E66" s="18"/>
      <c r="F66" s="42"/>
      <c r="G66" s="43" t="s">
        <v>23</v>
      </c>
      <c r="H66" s="126" t="n">
        <v>16</v>
      </c>
      <c r="I66" s="64" t="n">
        <v>15</v>
      </c>
      <c r="J66" s="64" t="n">
        <v>15</v>
      </c>
      <c r="K66" s="65" t="n">
        <f aca="false">L66+M66</f>
        <v>0</v>
      </c>
      <c r="L66" s="65"/>
      <c r="M66" s="65"/>
      <c r="N66" s="64"/>
      <c r="O66" s="65" t="n">
        <v>2731.1</v>
      </c>
      <c r="P66" s="65"/>
      <c r="Q66" s="66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" hidden="false" customHeight="true" outlineLevel="0" collapsed="false">
      <c r="A67" s="17"/>
      <c r="B67" s="18" t="s">
        <v>175</v>
      </c>
      <c r="C67" s="19"/>
      <c r="D67" s="19"/>
      <c r="E67" s="19"/>
      <c r="F67" s="137"/>
      <c r="G67" s="21" t="s">
        <v>22</v>
      </c>
      <c r="H67" s="112"/>
      <c r="I67" s="67"/>
      <c r="J67" s="67"/>
      <c r="K67" s="68" t="n">
        <f aca="false">L67+M67</f>
        <v>0</v>
      </c>
      <c r="L67" s="68"/>
      <c r="M67" s="68"/>
      <c r="N67" s="67"/>
      <c r="O67" s="68" t="n">
        <f aca="false">P67+Q67</f>
        <v>0</v>
      </c>
      <c r="P67" s="68"/>
      <c r="Q67" s="69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" hidden="false" customHeight="false" outlineLevel="0" collapsed="false">
      <c r="A68" s="17"/>
      <c r="B68" s="18"/>
      <c r="C68" s="18"/>
      <c r="D68" s="18"/>
      <c r="E68" s="18"/>
      <c r="F68" s="138"/>
      <c r="G68" s="27" t="s">
        <v>26</v>
      </c>
      <c r="H68" s="123"/>
      <c r="I68" s="58"/>
      <c r="J68" s="58"/>
      <c r="K68" s="59" t="n">
        <f aca="false">L68+M68</f>
        <v>0</v>
      </c>
      <c r="L68" s="59"/>
      <c r="M68" s="59"/>
      <c r="N68" s="58"/>
      <c r="O68" s="59" t="n">
        <f aca="false">P68+Q68</f>
        <v>0</v>
      </c>
      <c r="P68" s="59"/>
      <c r="Q68" s="60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33"/>
      <c r="B69" s="34" t="s">
        <v>68</v>
      </c>
      <c r="C69" s="35" t="s">
        <v>20</v>
      </c>
      <c r="D69" s="35"/>
      <c r="E69" s="35" t="s">
        <v>69</v>
      </c>
      <c r="F69" s="38"/>
      <c r="G69" s="37" t="s">
        <v>22</v>
      </c>
      <c r="H69" s="119" t="n">
        <v>3</v>
      </c>
      <c r="I69" s="61"/>
      <c r="J69" s="61"/>
      <c r="K69" s="62" t="n">
        <f aca="false">L69+M69</f>
        <v>0</v>
      </c>
      <c r="L69" s="62"/>
      <c r="M69" s="62"/>
      <c r="N69" s="61" t="n">
        <v>10</v>
      </c>
      <c r="O69" s="62" t="n">
        <f aca="false">P69+Q69</f>
        <v>3419.21</v>
      </c>
      <c r="P69" s="62" t="n">
        <v>3419.21</v>
      </c>
      <c r="Q69" s="63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33"/>
      <c r="B70" s="34"/>
      <c r="C70" s="34"/>
      <c r="D70" s="34"/>
      <c r="E70" s="34"/>
      <c r="F70" s="42" t="s">
        <v>176</v>
      </c>
      <c r="G70" s="43" t="s">
        <v>26</v>
      </c>
      <c r="H70" s="115"/>
      <c r="I70" s="64"/>
      <c r="J70" s="64"/>
      <c r="K70" s="65" t="n">
        <f aca="false">L70+M70</f>
        <v>0</v>
      </c>
      <c r="L70" s="65"/>
      <c r="M70" s="65"/>
      <c r="N70" s="64"/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.75" hidden="false" customHeight="true" outlineLevel="0" collapsed="false">
      <c r="A71" s="17"/>
      <c r="B71" s="18" t="s">
        <v>70</v>
      </c>
      <c r="C71" s="19" t="s">
        <v>20</v>
      </c>
      <c r="D71" s="19" t="s">
        <v>71</v>
      </c>
      <c r="E71" s="19" t="s">
        <v>25</v>
      </c>
      <c r="F71" s="20"/>
      <c r="G71" s="21" t="s">
        <v>22</v>
      </c>
      <c r="H71" s="116"/>
      <c r="I71" s="67"/>
      <c r="J71" s="67"/>
      <c r="K71" s="68" t="n">
        <f aca="false">L71+M71</f>
        <v>0</v>
      </c>
      <c r="L71" s="68"/>
      <c r="M71" s="68"/>
      <c r="N71" s="67"/>
      <c r="O71" s="68" t="n">
        <f aca="false">P71+Q71</f>
        <v>0</v>
      </c>
      <c r="P71" s="68"/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26" t="s">
        <v>177</v>
      </c>
      <c r="G72" s="27" t="s">
        <v>26</v>
      </c>
      <c r="H72" s="115"/>
      <c r="I72" s="58"/>
      <c r="J72" s="58"/>
      <c r="K72" s="59" t="n">
        <f aca="false">L72+M72</f>
        <v>0</v>
      </c>
      <c r="L72" s="59"/>
      <c r="M72" s="59"/>
      <c r="N72" s="58"/>
      <c r="O72" s="59" t="n">
        <f aca="false">P72+Q72</f>
        <v>0</v>
      </c>
      <c r="P72" s="59"/>
      <c r="Q72" s="60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true" outlineLevel="0" collapsed="false">
      <c r="A73" s="33"/>
      <c r="B73" s="34" t="s">
        <v>72</v>
      </c>
      <c r="C73" s="35" t="s">
        <v>20</v>
      </c>
      <c r="D73" s="35"/>
      <c r="E73" s="35" t="s">
        <v>52</v>
      </c>
      <c r="F73" s="36"/>
      <c r="G73" s="21" t="s">
        <v>22</v>
      </c>
      <c r="H73" s="114" t="n">
        <v>1</v>
      </c>
      <c r="I73" s="61"/>
      <c r="J73" s="61"/>
      <c r="K73" s="62" t="n">
        <f aca="false">L73+M73</f>
        <v>0</v>
      </c>
      <c r="L73" s="62"/>
      <c r="M73" s="62"/>
      <c r="N73" s="61"/>
      <c r="O73" s="62" t="n">
        <f aca="false">P73+Q73</f>
        <v>0</v>
      </c>
      <c r="P73" s="62"/>
      <c r="Q73" s="63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.75" hidden="false" customHeight="true" outlineLevel="0" collapsed="false">
      <c r="A74" s="33"/>
      <c r="B74" s="34"/>
      <c r="C74" s="34"/>
      <c r="D74" s="34"/>
      <c r="E74" s="34"/>
      <c r="F74" s="42" t="s">
        <v>178</v>
      </c>
      <c r="G74" s="43" t="s">
        <v>26</v>
      </c>
      <c r="H74" s="117" t="n">
        <v>1</v>
      </c>
      <c r="I74" s="64"/>
      <c r="J74" s="64"/>
      <c r="K74" s="65" t="n">
        <v>881</v>
      </c>
      <c r="L74" s="65" t="n">
        <v>881</v>
      </c>
      <c r="M74" s="65"/>
      <c r="N74" s="64" t="n">
        <v>3</v>
      </c>
      <c r="O74" s="65" t="n">
        <f aca="false">P74+Q74</f>
        <v>0</v>
      </c>
      <c r="P74" s="65"/>
      <c r="Q74" s="66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" hidden="false" customHeight="true" outlineLevel="0" collapsed="false">
      <c r="A75" s="17"/>
      <c r="B75" s="18" t="s">
        <v>73</v>
      </c>
      <c r="C75" s="19" t="s">
        <v>20</v>
      </c>
      <c r="D75" s="19"/>
      <c r="E75" s="19" t="s">
        <v>52</v>
      </c>
      <c r="F75" s="20"/>
      <c r="G75" s="21" t="s">
        <v>22</v>
      </c>
      <c r="H75" s="114" t="n">
        <v>2</v>
      </c>
      <c r="I75" s="67" t="n">
        <v>1</v>
      </c>
      <c r="J75" s="67" t="n">
        <v>1</v>
      </c>
      <c r="K75" s="68" t="n">
        <f aca="false">L75+M75</f>
        <v>1395.5</v>
      </c>
      <c r="L75" s="68" t="n">
        <v>1395.5</v>
      </c>
      <c r="M75" s="68"/>
      <c r="N75" s="67" t="n">
        <v>2</v>
      </c>
      <c r="O75" s="68" t="n">
        <f aca="false">P75+Q75</f>
        <v>3239.04</v>
      </c>
      <c r="P75" s="68" t="n">
        <v>3239.04</v>
      </c>
      <c r="Q75" s="69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26" t="s">
        <v>179</v>
      </c>
      <c r="G76" s="27" t="s">
        <v>26</v>
      </c>
      <c r="H76" s="118" t="n">
        <v>2</v>
      </c>
      <c r="I76" s="58"/>
      <c r="J76" s="58"/>
      <c r="K76" s="59" t="n">
        <f aca="false">L76+M76</f>
        <v>0</v>
      </c>
      <c r="L76" s="59"/>
      <c r="M76" s="59"/>
      <c r="N76" s="58" t="n">
        <v>1</v>
      </c>
      <c r="O76" s="59" t="n">
        <f aca="false">P76+Q76</f>
        <v>0</v>
      </c>
      <c r="P76" s="59"/>
      <c r="Q76" s="60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33"/>
      <c r="B77" s="34" t="s">
        <v>74</v>
      </c>
      <c r="C77" s="35" t="s">
        <v>33</v>
      </c>
      <c r="D77" s="35" t="s">
        <v>75</v>
      </c>
      <c r="E77" s="35" t="s">
        <v>25</v>
      </c>
      <c r="F77" s="36"/>
      <c r="G77" s="21" t="s">
        <v>22</v>
      </c>
      <c r="H77" s="114" t="n">
        <v>13</v>
      </c>
      <c r="I77" s="61" t="n">
        <v>7</v>
      </c>
      <c r="J77" s="61" t="n">
        <v>7</v>
      </c>
      <c r="K77" s="62" t="n">
        <f aca="false">L77+M77</f>
        <v>0</v>
      </c>
      <c r="L77" s="62"/>
      <c r="M77" s="62"/>
      <c r="N77" s="61" t="n">
        <v>16</v>
      </c>
      <c r="O77" s="62" t="n">
        <f aca="false">P77+Q77</f>
        <v>0</v>
      </c>
      <c r="P77" s="62"/>
      <c r="Q77" s="63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.75" hidden="false" customHeight="true" outlineLevel="0" collapsed="false">
      <c r="A78" s="33"/>
      <c r="B78" s="34"/>
      <c r="C78" s="34"/>
      <c r="D78" s="34"/>
      <c r="E78" s="34"/>
      <c r="F78" s="42"/>
      <c r="G78" s="43" t="s">
        <v>26</v>
      </c>
      <c r="H78" s="115"/>
      <c r="I78" s="64"/>
      <c r="J78" s="64"/>
      <c r="K78" s="65" t="n">
        <f aca="false">L78+M78</f>
        <v>0</v>
      </c>
      <c r="L78" s="65"/>
      <c r="M78" s="65"/>
      <c r="N78" s="64" t="n">
        <v>3</v>
      </c>
      <c r="O78" s="65" t="n">
        <f aca="false">P78+Q78</f>
        <v>0</v>
      </c>
      <c r="P78" s="65"/>
      <c r="Q78" s="66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" hidden="false" customHeight="true" outlineLevel="0" collapsed="false">
      <c r="A79" s="72"/>
      <c r="B79" s="73" t="s">
        <v>76</v>
      </c>
      <c r="C79" s="74" t="s">
        <v>20</v>
      </c>
      <c r="D79" s="74" t="s">
        <v>180</v>
      </c>
      <c r="E79" s="74" t="s">
        <v>25</v>
      </c>
      <c r="F79" s="20"/>
      <c r="G79" s="21" t="s">
        <v>22</v>
      </c>
      <c r="H79" s="114" t="n">
        <v>7</v>
      </c>
      <c r="I79" s="67" t="n">
        <v>1</v>
      </c>
      <c r="J79" s="67" t="n">
        <v>1</v>
      </c>
      <c r="K79" s="68" t="n">
        <f aca="false">L79+M79</f>
        <v>0</v>
      </c>
      <c r="L79" s="68"/>
      <c r="M79" s="68"/>
      <c r="N79" s="67" t="n">
        <v>1</v>
      </c>
      <c r="O79" s="68" t="n">
        <f aca="false">P79+Q79</f>
        <v>0</v>
      </c>
      <c r="P79" s="68"/>
      <c r="Q79" s="69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.75" hidden="false" customHeight="true" outlineLevel="0" collapsed="false">
      <c r="A80" s="72"/>
      <c r="B80" s="73"/>
      <c r="C80" s="73"/>
      <c r="D80" s="73"/>
      <c r="E80" s="73"/>
      <c r="F80" s="42" t="s">
        <v>181</v>
      </c>
      <c r="G80" s="43" t="s">
        <v>26</v>
      </c>
      <c r="H80" s="117" t="n">
        <v>3</v>
      </c>
      <c r="I80" s="64"/>
      <c r="J80" s="64"/>
      <c r="K80" s="65" t="n">
        <f aca="false">L80+M80</f>
        <v>0</v>
      </c>
      <c r="L80" s="65"/>
      <c r="M80" s="65"/>
      <c r="N80" s="64" t="n">
        <v>4</v>
      </c>
      <c r="O80" s="65" t="n">
        <f aca="false">P80+Q80</f>
        <v>0</v>
      </c>
      <c r="P80" s="65"/>
      <c r="Q80" s="66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" hidden="false" customHeight="true" outlineLevel="0" collapsed="false">
      <c r="A81" s="17"/>
      <c r="B81" s="18" t="s">
        <v>77</v>
      </c>
      <c r="C81" s="19" t="s">
        <v>38</v>
      </c>
      <c r="D81" s="19" t="s">
        <v>78</v>
      </c>
      <c r="E81" s="19" t="s">
        <v>25</v>
      </c>
      <c r="F81" s="22"/>
      <c r="G81" s="21" t="s">
        <v>22</v>
      </c>
      <c r="H81" s="119" t="n">
        <v>5</v>
      </c>
      <c r="I81" s="67" t="n">
        <v>5</v>
      </c>
      <c r="J81" s="67" t="n">
        <v>5</v>
      </c>
      <c r="K81" s="68" t="n">
        <f aca="false">L81+M81</f>
        <v>0</v>
      </c>
      <c r="L81" s="68"/>
      <c r="M81" s="68"/>
      <c r="N81" s="67" t="n">
        <v>1</v>
      </c>
      <c r="O81" s="68" t="n">
        <f aca="false">P81+Q81</f>
        <v>0</v>
      </c>
      <c r="P81" s="68"/>
      <c r="Q81" s="69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80" t="s">
        <v>182</v>
      </c>
      <c r="G82" s="81" t="s">
        <v>26</v>
      </c>
      <c r="H82" s="114" t="n">
        <v>2</v>
      </c>
      <c r="I82" s="82"/>
      <c r="J82" s="82"/>
      <c r="K82" s="83" t="n">
        <f aca="false">L82+M82</f>
        <v>0</v>
      </c>
      <c r="L82" s="83"/>
      <c r="M82" s="83"/>
      <c r="N82" s="82" t="n">
        <v>4</v>
      </c>
      <c r="O82" s="83" t="n">
        <f aca="false">P82+Q82</f>
        <v>0</v>
      </c>
      <c r="P82" s="83"/>
      <c r="Q82" s="84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" hidden="false" customHeight="false" outlineLevel="0" collapsed="false">
      <c r="A83" s="17"/>
      <c r="B83" s="18"/>
      <c r="C83" s="18"/>
      <c r="D83" s="18"/>
      <c r="E83" s="18"/>
      <c r="F83" s="85"/>
      <c r="G83" s="86" t="s">
        <v>23</v>
      </c>
      <c r="H83" s="120" t="n">
        <v>1</v>
      </c>
      <c r="I83" s="58" t="n">
        <v>1</v>
      </c>
      <c r="J83" s="58" t="n">
        <v>1</v>
      </c>
      <c r="K83" s="59" t="n">
        <f aca="false">L83+M83</f>
        <v>0</v>
      </c>
      <c r="L83" s="59"/>
      <c r="M83" s="59"/>
      <c r="N83" s="58" t="n">
        <v>2</v>
      </c>
      <c r="O83" s="59" t="n">
        <f aca="false">P83+Q83</f>
        <v>0</v>
      </c>
      <c r="P83" s="59"/>
      <c r="Q83" s="60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" hidden="false" customHeight="true" outlineLevel="0" collapsed="false">
      <c r="A84" s="33"/>
      <c r="B84" s="34" t="s">
        <v>79</v>
      </c>
      <c r="C84" s="35" t="s">
        <v>20</v>
      </c>
      <c r="D84" s="35"/>
      <c r="E84" s="35" t="s">
        <v>52</v>
      </c>
      <c r="F84" s="38"/>
      <c r="G84" s="21" t="s">
        <v>22</v>
      </c>
      <c r="H84" s="114" t="n">
        <v>2</v>
      </c>
      <c r="I84" s="61" t="n">
        <v>1</v>
      </c>
      <c r="J84" s="61" t="n">
        <v>1</v>
      </c>
      <c r="K84" s="62" t="n">
        <f aca="false">L84+M84</f>
        <v>0</v>
      </c>
      <c r="L84" s="62"/>
      <c r="M84" s="62"/>
      <c r="N84" s="61" t="n">
        <v>1</v>
      </c>
      <c r="O84" s="62" t="n">
        <f aca="false">P84+Q84</f>
        <v>0</v>
      </c>
      <c r="P84" s="62"/>
      <c r="Q84" s="63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.75" hidden="false" customHeight="true" outlineLevel="0" collapsed="false">
      <c r="A85" s="33"/>
      <c r="B85" s="34"/>
      <c r="C85" s="34"/>
      <c r="D85" s="34"/>
      <c r="E85" s="34"/>
      <c r="F85" s="42"/>
      <c r="G85" s="43" t="s">
        <v>26</v>
      </c>
      <c r="H85" s="115"/>
      <c r="I85" s="64"/>
      <c r="J85" s="64"/>
      <c r="K85" s="65" t="n">
        <f aca="false">L85+M85</f>
        <v>0</v>
      </c>
      <c r="L85" s="65"/>
      <c r="M85" s="65"/>
      <c r="N85" s="64"/>
      <c r="O85" s="65" t="n">
        <f aca="false">P85+Q85</f>
        <v>0</v>
      </c>
      <c r="P85" s="65"/>
      <c r="Q85" s="66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" hidden="false" customHeight="true" outlineLevel="0" collapsed="false">
      <c r="A86" s="72"/>
      <c r="B86" s="73" t="s">
        <v>80</v>
      </c>
      <c r="C86" s="74" t="s">
        <v>20</v>
      </c>
      <c r="D86" s="74"/>
      <c r="E86" s="74" t="s">
        <v>81</v>
      </c>
      <c r="F86" s="20"/>
      <c r="G86" s="21" t="s">
        <v>22</v>
      </c>
      <c r="H86" s="114" t="n">
        <v>2</v>
      </c>
      <c r="I86" s="67" t="n">
        <v>1</v>
      </c>
      <c r="J86" s="67" t="n">
        <v>1</v>
      </c>
      <c r="K86" s="68" t="n">
        <f aca="false">L86+M86</f>
        <v>3473.61</v>
      </c>
      <c r="L86" s="68" t="n">
        <v>3473.61</v>
      </c>
      <c r="M86" s="68"/>
      <c r="N86" s="67"/>
      <c r="O86" s="68" t="n">
        <f aca="false">P86+Q86</f>
        <v>0</v>
      </c>
      <c r="P86" s="68"/>
      <c r="Q86" s="69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.75" hidden="false" customHeight="true" outlineLevel="0" collapsed="false">
      <c r="A87" s="72"/>
      <c r="B87" s="73"/>
      <c r="C87" s="73"/>
      <c r="D87" s="73"/>
      <c r="E87" s="73"/>
      <c r="F87" s="42" t="s">
        <v>183</v>
      </c>
      <c r="G87" s="43" t="s">
        <v>26</v>
      </c>
      <c r="H87" s="115"/>
      <c r="I87" s="64"/>
      <c r="J87" s="64"/>
      <c r="K87" s="65" t="n">
        <f aca="false">L87+M87</f>
        <v>0</v>
      </c>
      <c r="L87" s="65"/>
      <c r="M87" s="65"/>
      <c r="N87" s="64"/>
      <c r="O87" s="65" t="n">
        <f aca="false">P87+Q87</f>
        <v>0</v>
      </c>
      <c r="P87" s="65"/>
      <c r="Q87" s="66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" hidden="false" customHeight="true" outlineLevel="0" collapsed="false">
      <c r="A88" s="17"/>
      <c r="B88" s="18" t="s">
        <v>82</v>
      </c>
      <c r="C88" s="19" t="s">
        <v>20</v>
      </c>
      <c r="D88" s="19" t="s">
        <v>184</v>
      </c>
      <c r="E88" s="19" t="s">
        <v>25</v>
      </c>
      <c r="F88" s="22"/>
      <c r="G88" s="21" t="s">
        <v>22</v>
      </c>
      <c r="H88" s="114" t="n">
        <v>13</v>
      </c>
      <c r="I88" s="67" t="n">
        <v>1</v>
      </c>
      <c r="J88" s="67" t="n">
        <v>1</v>
      </c>
      <c r="K88" s="68" t="n">
        <f aca="false">L88+M88</f>
        <v>0</v>
      </c>
      <c r="L88" s="68"/>
      <c r="M88" s="68"/>
      <c r="N88" s="67" t="n">
        <v>1</v>
      </c>
      <c r="O88" s="68" t="n">
        <f aca="false">P88+Q88</f>
        <v>0</v>
      </c>
      <c r="P88" s="68"/>
      <c r="Q88" s="69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.75" hidden="false" customHeight="true" outlineLevel="0" collapsed="false">
      <c r="A89" s="17"/>
      <c r="B89" s="18"/>
      <c r="C89" s="18"/>
      <c r="D89" s="18"/>
      <c r="E89" s="18"/>
      <c r="F89" s="26" t="s">
        <v>185</v>
      </c>
      <c r="G89" s="27" t="s">
        <v>26</v>
      </c>
      <c r="H89" s="118" t="n">
        <v>1</v>
      </c>
      <c r="I89" s="58"/>
      <c r="J89" s="58"/>
      <c r="K89" s="59" t="n">
        <f aca="false">L89+M89</f>
        <v>0</v>
      </c>
      <c r="L89" s="59"/>
      <c r="M89" s="59"/>
      <c r="N89" s="58" t="n">
        <v>1</v>
      </c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" hidden="false" customHeight="true" outlineLevel="0" collapsed="false">
      <c r="A90" s="17"/>
      <c r="B90" s="18" t="s">
        <v>83</v>
      </c>
      <c r="C90" s="19" t="s">
        <v>20</v>
      </c>
      <c r="D90" s="19"/>
      <c r="E90" s="19" t="s">
        <v>25</v>
      </c>
      <c r="F90" s="20"/>
      <c r="G90" s="21" t="s">
        <v>22</v>
      </c>
      <c r="H90" s="114" t="n">
        <v>2</v>
      </c>
      <c r="I90" s="67" t="n">
        <v>2</v>
      </c>
      <c r="J90" s="67" t="n">
        <v>2</v>
      </c>
      <c r="K90" s="68" t="n">
        <f aca="false">L90+M90</f>
        <v>0</v>
      </c>
      <c r="L90" s="68"/>
      <c r="M90" s="68"/>
      <c r="N90" s="67" t="n">
        <v>1</v>
      </c>
      <c r="O90" s="68" t="n">
        <f aca="false">P90+Q90</f>
        <v>0</v>
      </c>
      <c r="P90" s="68"/>
      <c r="Q90" s="69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17"/>
      <c r="B91" s="18"/>
      <c r="C91" s="18"/>
      <c r="D91" s="18"/>
      <c r="E91" s="18"/>
      <c r="F91" s="26" t="s">
        <v>186</v>
      </c>
      <c r="G91" s="27" t="s">
        <v>26</v>
      </c>
      <c r="H91" s="118" t="n">
        <v>2</v>
      </c>
      <c r="I91" s="58"/>
      <c r="J91" s="58"/>
      <c r="K91" s="59" t="n">
        <f aca="false">L91+M91</f>
        <v>0</v>
      </c>
      <c r="L91" s="59"/>
      <c r="M91" s="59"/>
      <c r="N91" s="58"/>
      <c r="O91" s="59" t="n">
        <f aca="false">P91+Q91</f>
        <v>0</v>
      </c>
      <c r="P91" s="59"/>
      <c r="Q91" s="60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" hidden="false" customHeight="true" outlineLevel="0" collapsed="false">
      <c r="A92" s="33"/>
      <c r="B92" s="34" t="s">
        <v>84</v>
      </c>
      <c r="C92" s="35" t="s">
        <v>20</v>
      </c>
      <c r="D92" s="35"/>
      <c r="E92" s="35" t="s">
        <v>52</v>
      </c>
      <c r="F92" s="36"/>
      <c r="G92" s="21" t="s">
        <v>22</v>
      </c>
      <c r="H92" s="114" t="n">
        <v>7</v>
      </c>
      <c r="I92" s="61"/>
      <c r="J92" s="61"/>
      <c r="K92" s="62" t="n">
        <f aca="false">L92+M92</f>
        <v>0</v>
      </c>
      <c r="L92" s="62"/>
      <c r="M92" s="62"/>
      <c r="N92" s="61" t="n">
        <v>5</v>
      </c>
      <c r="O92" s="62" t="n">
        <f aca="false">P92+Q92</f>
        <v>0</v>
      </c>
      <c r="P92" s="62"/>
      <c r="Q92" s="63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33"/>
      <c r="B93" s="34"/>
      <c r="C93" s="34"/>
      <c r="D93" s="34"/>
      <c r="E93" s="34"/>
      <c r="F93" s="71"/>
      <c r="G93" s="43" t="s">
        <v>26</v>
      </c>
      <c r="H93" s="115"/>
      <c r="I93" s="64"/>
      <c r="J93" s="64"/>
      <c r="K93" s="65" t="n">
        <f aca="false">L93+M93</f>
        <v>0</v>
      </c>
      <c r="L93" s="65"/>
      <c r="M93" s="65"/>
      <c r="N93" s="64"/>
      <c r="O93" s="65" t="n">
        <f aca="false">P93+Q93</f>
        <v>0</v>
      </c>
      <c r="P93" s="65"/>
      <c r="Q93" s="66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" hidden="false" customHeight="true" outlineLevel="0" collapsed="false">
      <c r="A94" s="17"/>
      <c r="B94" s="18" t="s">
        <v>85</v>
      </c>
      <c r="C94" s="19" t="s">
        <v>20</v>
      </c>
      <c r="D94" s="19"/>
      <c r="E94" s="19" t="s">
        <v>25</v>
      </c>
      <c r="F94" s="87"/>
      <c r="G94" s="21" t="s">
        <v>22</v>
      </c>
      <c r="H94" s="116"/>
      <c r="I94" s="67"/>
      <c r="J94" s="67"/>
      <c r="K94" s="68" t="n">
        <f aca="false">L94+M94</f>
        <v>0</v>
      </c>
      <c r="L94" s="68"/>
      <c r="M94" s="68"/>
      <c r="N94" s="67"/>
      <c r="O94" s="68" t="n">
        <f aca="false">P94+Q94</f>
        <v>0</v>
      </c>
      <c r="P94" s="68"/>
      <c r="Q94" s="69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.75" hidden="false" customHeight="true" outlineLevel="0" collapsed="false">
      <c r="A95" s="17"/>
      <c r="B95" s="18"/>
      <c r="C95" s="18"/>
      <c r="D95" s="18"/>
      <c r="E95" s="18"/>
      <c r="F95" s="88"/>
      <c r="G95" s="27" t="s">
        <v>26</v>
      </c>
      <c r="H95" s="115"/>
      <c r="I95" s="58"/>
      <c r="J95" s="58"/>
      <c r="K95" s="59" t="n">
        <f aca="false">L95+M95</f>
        <v>0</v>
      </c>
      <c r="L95" s="59"/>
      <c r="M95" s="59"/>
      <c r="N95" s="58"/>
      <c r="O95" s="59" t="n">
        <f aca="false">P95+Q95</f>
        <v>0</v>
      </c>
      <c r="P95" s="59"/>
      <c r="Q95" s="60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.75" hidden="false" customHeight="true" outlineLevel="0" collapsed="false">
      <c r="A96" s="17"/>
      <c r="B96" s="73" t="s">
        <v>86</v>
      </c>
      <c r="C96" s="74" t="s">
        <v>33</v>
      </c>
      <c r="D96" s="74" t="s">
        <v>87</v>
      </c>
      <c r="E96" s="74" t="s">
        <v>88</v>
      </c>
      <c r="F96" s="20"/>
      <c r="G96" s="21" t="s">
        <v>22</v>
      </c>
      <c r="H96" s="119" t="n">
        <v>11</v>
      </c>
      <c r="I96" s="67" t="n">
        <v>2</v>
      </c>
      <c r="J96" s="67" t="n">
        <v>3</v>
      </c>
      <c r="K96" s="68" t="n">
        <f aca="false">L96+M96</f>
        <v>0</v>
      </c>
      <c r="L96" s="68"/>
      <c r="M96" s="68"/>
      <c r="N96" s="67" t="n">
        <v>5</v>
      </c>
      <c r="O96" s="68" t="n">
        <f aca="false">P96+Q96</f>
        <v>0</v>
      </c>
      <c r="P96" s="68"/>
      <c r="Q96" s="69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17"/>
      <c r="B97" s="73"/>
      <c r="C97" s="73"/>
      <c r="D97" s="73"/>
      <c r="E97" s="73"/>
      <c r="F97" s="42"/>
      <c r="G97" s="43" t="s">
        <v>23</v>
      </c>
      <c r="H97" s="117" t="n">
        <v>8</v>
      </c>
      <c r="I97" s="64" t="n">
        <v>3</v>
      </c>
      <c r="J97" s="64" t="n">
        <v>3</v>
      </c>
      <c r="K97" s="65" t="n">
        <f aca="false">L97+M97</f>
        <v>0</v>
      </c>
      <c r="L97" s="65"/>
      <c r="M97" s="65"/>
      <c r="N97" s="64"/>
      <c r="O97" s="65" t="n">
        <v>440.5</v>
      </c>
      <c r="P97" s="65"/>
      <c r="Q97" s="66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" hidden="false" customHeight="true" outlineLevel="0" collapsed="false">
      <c r="A98" s="17"/>
      <c r="B98" s="18" t="s">
        <v>89</v>
      </c>
      <c r="C98" s="19" t="s">
        <v>20</v>
      </c>
      <c r="D98" s="19" t="s">
        <v>90</v>
      </c>
      <c r="E98" s="19" t="s">
        <v>42</v>
      </c>
      <c r="F98" s="20"/>
      <c r="G98" s="21" t="s">
        <v>22</v>
      </c>
      <c r="H98" s="114" t="n">
        <v>12</v>
      </c>
      <c r="I98" s="67" t="n">
        <v>2</v>
      </c>
      <c r="J98" s="67" t="n">
        <v>2</v>
      </c>
      <c r="K98" s="68" t="n">
        <f aca="false">L98+M98</f>
        <v>0</v>
      </c>
      <c r="L98" s="68"/>
      <c r="M98" s="68"/>
      <c r="N98" s="67" t="n">
        <v>5</v>
      </c>
      <c r="O98" s="68" t="n">
        <f aca="false">P98+Q98</f>
        <v>14024.79</v>
      </c>
      <c r="P98" s="68" t="n">
        <v>14024.79</v>
      </c>
      <c r="Q98" s="69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17"/>
      <c r="B99" s="18"/>
      <c r="C99" s="18"/>
      <c r="D99" s="18"/>
      <c r="E99" s="18"/>
      <c r="F99" s="26"/>
      <c r="G99" s="27" t="s">
        <v>23</v>
      </c>
      <c r="H99" s="115"/>
      <c r="I99" s="58"/>
      <c r="J99" s="58"/>
      <c r="K99" s="59" t="n">
        <f aca="false">L99+M99</f>
        <v>0</v>
      </c>
      <c r="L99" s="59"/>
      <c r="M99" s="59"/>
      <c r="N99" s="58"/>
      <c r="O99" s="59" t="n">
        <f aca="false">P99+Q99</f>
        <v>0</v>
      </c>
      <c r="P99" s="59"/>
      <c r="Q99" s="60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.75" hidden="false" customHeight="true" outlineLevel="0" collapsed="false">
      <c r="A100" s="33"/>
      <c r="B100" s="34" t="s">
        <v>91</v>
      </c>
      <c r="C100" s="35" t="s">
        <v>33</v>
      </c>
      <c r="D100" s="35" t="s">
        <v>92</v>
      </c>
      <c r="E100" s="35" t="s">
        <v>25</v>
      </c>
      <c r="F100" s="36"/>
      <c r="G100" s="21" t="s">
        <v>22</v>
      </c>
      <c r="H100" s="114" t="n">
        <v>7</v>
      </c>
      <c r="I100" s="61"/>
      <c r="J100" s="61"/>
      <c r="K100" s="62" t="n">
        <f aca="false">L100+M100</f>
        <v>0</v>
      </c>
      <c r="L100" s="62"/>
      <c r="M100" s="62"/>
      <c r="N100" s="61" t="n">
        <v>1</v>
      </c>
      <c r="O100" s="62" t="n">
        <f aca="false">P100+Q100</f>
        <v>0</v>
      </c>
      <c r="P100" s="62"/>
      <c r="Q100" s="63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33"/>
      <c r="B101" s="34"/>
      <c r="C101" s="34"/>
      <c r="D101" s="34"/>
      <c r="E101" s="34"/>
      <c r="F101" s="89"/>
      <c r="G101" s="90" t="s">
        <v>23</v>
      </c>
      <c r="H101" s="116"/>
      <c r="I101" s="91"/>
      <c r="J101" s="91"/>
      <c r="K101" s="92" t="n">
        <f aca="false">L101+M101</f>
        <v>0</v>
      </c>
      <c r="L101" s="92"/>
      <c r="M101" s="92"/>
      <c r="N101" s="91"/>
      <c r="O101" s="92" t="n">
        <f aca="false">P101+Q101</f>
        <v>0</v>
      </c>
      <c r="P101" s="92"/>
      <c r="Q101" s="93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33"/>
      <c r="B102" s="34"/>
      <c r="C102" s="34"/>
      <c r="D102" s="34"/>
      <c r="E102" s="34"/>
      <c r="F102" s="42" t="s">
        <v>187</v>
      </c>
      <c r="G102" s="43" t="s">
        <v>26</v>
      </c>
      <c r="H102" s="117" t="n">
        <v>4</v>
      </c>
      <c r="I102" s="64" t="n">
        <v>1</v>
      </c>
      <c r="J102" s="64" t="n">
        <v>1</v>
      </c>
      <c r="K102" s="65" t="n">
        <f aca="false">L102+M102</f>
        <v>0</v>
      </c>
      <c r="L102" s="65"/>
      <c r="M102" s="65"/>
      <c r="N102" s="64" t="n">
        <v>2</v>
      </c>
      <c r="O102" s="65" t="n">
        <f aca="false">P102+Q102</f>
        <v>0</v>
      </c>
      <c r="P102" s="65"/>
      <c r="Q102" s="66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18" t="s">
        <v>93</v>
      </c>
      <c r="C103" s="19" t="s">
        <v>20</v>
      </c>
      <c r="D103" s="49"/>
      <c r="E103" s="19" t="s">
        <v>50</v>
      </c>
      <c r="F103" s="87"/>
      <c r="G103" s="21" t="s">
        <v>22</v>
      </c>
      <c r="H103" s="119" t="n">
        <v>2</v>
      </c>
      <c r="I103" s="67"/>
      <c r="J103" s="67"/>
      <c r="K103" s="68" t="n">
        <f aca="false">L103+M103</f>
        <v>0</v>
      </c>
      <c r="L103" s="68"/>
      <c r="M103" s="68"/>
      <c r="N103" s="67"/>
      <c r="O103" s="68" t="n">
        <f aca="false">P103+Q103</f>
        <v>0</v>
      </c>
      <c r="P103" s="68"/>
      <c r="Q103" s="69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.75" hidden="false" customHeight="true" outlineLevel="0" collapsed="false">
      <c r="A104" s="17"/>
      <c r="B104" s="18"/>
      <c r="C104" s="18"/>
      <c r="D104" s="18"/>
      <c r="E104" s="18"/>
      <c r="F104" s="88" t="s">
        <v>188</v>
      </c>
      <c r="G104" s="27" t="s">
        <v>26</v>
      </c>
      <c r="H104" s="117" t="n">
        <v>4</v>
      </c>
      <c r="I104" s="58"/>
      <c r="J104" s="58"/>
      <c r="K104" s="59" t="n">
        <f aca="false">L104+M104</f>
        <v>0</v>
      </c>
      <c r="L104" s="59"/>
      <c r="M104" s="59"/>
      <c r="N104" s="58"/>
      <c r="O104" s="59" t="n">
        <f aca="false">P104+Q104</f>
        <v>0</v>
      </c>
      <c r="P104" s="59"/>
      <c r="Q104" s="60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" hidden="false" customHeight="true" outlineLevel="0" collapsed="false">
      <c r="A105" s="54"/>
      <c r="B105" s="55" t="s">
        <v>94</v>
      </c>
      <c r="C105" s="56" t="s">
        <v>20</v>
      </c>
      <c r="D105" s="56"/>
      <c r="E105" s="56" t="s">
        <v>52</v>
      </c>
      <c r="F105" s="36"/>
      <c r="G105" s="37" t="s">
        <v>22</v>
      </c>
      <c r="H105" s="114" t="n">
        <v>6</v>
      </c>
      <c r="I105" s="61" t="n">
        <v>3</v>
      </c>
      <c r="J105" s="61" t="n">
        <v>3</v>
      </c>
      <c r="K105" s="62" t="n">
        <f aca="false">L105+M105</f>
        <v>563.84</v>
      </c>
      <c r="L105" s="62" t="n">
        <v>563.84</v>
      </c>
      <c r="M105" s="62"/>
      <c r="N105" s="61" t="n">
        <v>2</v>
      </c>
      <c r="O105" s="62" t="n">
        <f aca="false">P105+Q105</f>
        <v>3894.06</v>
      </c>
      <c r="P105" s="62" t="n">
        <v>3894.06</v>
      </c>
      <c r="Q105" s="63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.75" hidden="false" customHeight="true" outlineLevel="0" collapsed="false">
      <c r="A106" s="54"/>
      <c r="B106" s="55"/>
      <c r="C106" s="55"/>
      <c r="D106" s="55"/>
      <c r="E106" s="55"/>
      <c r="F106" s="42" t="s">
        <v>189</v>
      </c>
      <c r="G106" s="43" t="s">
        <v>26</v>
      </c>
      <c r="H106" s="117" t="n">
        <v>6</v>
      </c>
      <c r="I106" s="58"/>
      <c r="J106" s="58"/>
      <c r="K106" s="59" t="n">
        <f aca="false">L106+M106</f>
        <v>0</v>
      </c>
      <c r="L106" s="59"/>
      <c r="M106" s="59"/>
      <c r="N106" s="58" t="n">
        <v>1</v>
      </c>
      <c r="O106" s="59" t="n">
        <f aca="false">P106+Q106</f>
        <v>0</v>
      </c>
      <c r="P106" s="59"/>
      <c r="Q106" s="60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33"/>
      <c r="B107" s="34" t="s">
        <v>95</v>
      </c>
      <c r="C107" s="35" t="s">
        <v>33</v>
      </c>
      <c r="D107" s="35" t="s">
        <v>96</v>
      </c>
      <c r="E107" s="35" t="s">
        <v>88</v>
      </c>
      <c r="F107" s="22"/>
      <c r="G107" s="21" t="s">
        <v>22</v>
      </c>
      <c r="H107" s="114" t="n">
        <v>12</v>
      </c>
      <c r="I107" s="61" t="n">
        <v>4</v>
      </c>
      <c r="J107" s="38" t="n">
        <v>4</v>
      </c>
      <c r="K107" s="62" t="n">
        <f aca="false">L107+M107</f>
        <v>4875.45</v>
      </c>
      <c r="L107" s="62" t="n">
        <v>4875.45</v>
      </c>
      <c r="M107" s="62"/>
      <c r="N107" s="61"/>
      <c r="O107" s="62" t="n">
        <f aca="false">P107+Q107</f>
        <v>0</v>
      </c>
      <c r="P107" s="62"/>
      <c r="Q107" s="63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.75" hidden="false" customHeight="true" outlineLevel="0" collapsed="false">
      <c r="A108" s="33"/>
      <c r="B108" s="34"/>
      <c r="C108" s="34"/>
      <c r="D108" s="34"/>
      <c r="E108" s="34"/>
      <c r="F108" s="42"/>
      <c r="G108" s="43" t="s">
        <v>23</v>
      </c>
      <c r="H108" s="117" t="n">
        <v>5</v>
      </c>
      <c r="I108" s="64"/>
      <c r="J108" s="64"/>
      <c r="K108" s="65" t="n">
        <f aca="false">L108+M108</f>
        <v>0</v>
      </c>
      <c r="L108" s="65"/>
      <c r="M108" s="65"/>
      <c r="N108" s="64"/>
      <c r="O108" s="65" t="n">
        <f aca="false">P108+Q108</f>
        <v>0</v>
      </c>
      <c r="P108" s="65"/>
      <c r="Q108" s="66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72"/>
      <c r="B109" s="73" t="s">
        <v>97</v>
      </c>
      <c r="C109" s="74" t="s">
        <v>20</v>
      </c>
      <c r="D109" s="74"/>
      <c r="E109" s="74" t="s">
        <v>98</v>
      </c>
      <c r="F109" s="20"/>
      <c r="G109" s="21" t="s">
        <v>22</v>
      </c>
      <c r="H109" s="114" t="n">
        <v>3</v>
      </c>
      <c r="I109" s="67" t="n">
        <v>1</v>
      </c>
      <c r="J109" s="67" t="n">
        <v>1</v>
      </c>
      <c r="K109" s="68" t="n">
        <f aca="false">L109+M109</f>
        <v>0</v>
      </c>
      <c r="L109" s="68"/>
      <c r="M109" s="68"/>
      <c r="N109" s="67" t="n">
        <v>1</v>
      </c>
      <c r="O109" s="68" t="n">
        <f aca="false">P109+Q109</f>
        <v>0</v>
      </c>
      <c r="P109" s="68"/>
      <c r="Q109" s="69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72"/>
      <c r="B110" s="73"/>
      <c r="C110" s="73"/>
      <c r="D110" s="73"/>
      <c r="E110" s="73"/>
      <c r="F110" s="42"/>
      <c r="G110" s="43" t="s">
        <v>23</v>
      </c>
      <c r="H110" s="126" t="n">
        <v>3</v>
      </c>
      <c r="I110" s="64" t="n">
        <v>7</v>
      </c>
      <c r="J110" s="64" t="n">
        <v>7</v>
      </c>
      <c r="K110" s="65" t="n">
        <f aca="false">L110+M110</f>
        <v>0</v>
      </c>
      <c r="L110" s="65"/>
      <c r="M110" s="65"/>
      <c r="N110" s="64" t="n">
        <v>2</v>
      </c>
      <c r="O110" s="65" t="n">
        <f aca="false">P110+Q110</f>
        <v>0</v>
      </c>
      <c r="P110" s="65"/>
      <c r="Q110" s="66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.75" hidden="false" customHeight="true" outlineLevel="0" collapsed="false">
      <c r="A111" s="17"/>
      <c r="B111" s="18" t="s">
        <v>156</v>
      </c>
      <c r="C111" s="19"/>
      <c r="D111" s="19"/>
      <c r="E111" s="19"/>
      <c r="F111" s="20"/>
      <c r="G111" s="21" t="s">
        <v>22</v>
      </c>
      <c r="H111" s="125" t="n">
        <v>3</v>
      </c>
      <c r="I111" s="67"/>
      <c r="J111" s="67"/>
      <c r="K111" s="68" t="n">
        <f aca="false">L111+M111</f>
        <v>0</v>
      </c>
      <c r="L111" s="68"/>
      <c r="M111" s="68"/>
      <c r="N111" s="67"/>
      <c r="O111" s="68" t="n">
        <f aca="false">P111+Q111</f>
        <v>0</v>
      </c>
      <c r="P111" s="68"/>
      <c r="Q111" s="69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17"/>
      <c r="B112" s="18"/>
      <c r="C112" s="18"/>
      <c r="D112" s="18"/>
      <c r="E112" s="18"/>
      <c r="F112" s="97"/>
      <c r="G112" s="90" t="s">
        <v>26</v>
      </c>
      <c r="H112" s="126"/>
      <c r="I112" s="91"/>
      <c r="J112" s="91"/>
      <c r="K112" s="92" t="n">
        <f aca="false">L112+M112</f>
        <v>0</v>
      </c>
      <c r="L112" s="92"/>
      <c r="M112" s="92"/>
      <c r="N112" s="91"/>
      <c r="O112" s="92" t="n">
        <f aca="false">P112+Q112</f>
        <v>0</v>
      </c>
      <c r="P112" s="92"/>
      <c r="Q112" s="93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17"/>
      <c r="B113" s="18"/>
      <c r="C113" s="18"/>
      <c r="D113" s="18"/>
      <c r="E113" s="18"/>
      <c r="F113" s="71"/>
      <c r="G113" s="43" t="s">
        <v>23</v>
      </c>
      <c r="H113" s="139"/>
      <c r="I113" s="64"/>
      <c r="J113" s="64"/>
      <c r="K113" s="65" t="n">
        <f aca="false">L113+M113</f>
        <v>0</v>
      </c>
      <c r="L113" s="65"/>
      <c r="M113" s="65"/>
      <c r="N113" s="64"/>
      <c r="O113" s="65" t="n">
        <f aca="false">P113+Q113</f>
        <v>0</v>
      </c>
      <c r="P113" s="65"/>
      <c r="Q113" s="66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17"/>
      <c r="B114" s="18" t="s">
        <v>190</v>
      </c>
      <c r="C114" s="19"/>
      <c r="D114" s="19"/>
      <c r="E114" s="19"/>
      <c r="F114" s="20"/>
      <c r="G114" s="21" t="s">
        <v>22</v>
      </c>
      <c r="H114" s="125" t="n">
        <v>1</v>
      </c>
      <c r="I114" s="67"/>
      <c r="J114" s="67"/>
      <c r="K114" s="68" t="n">
        <f aca="false">L114+M114</f>
        <v>0</v>
      </c>
      <c r="L114" s="68"/>
      <c r="M114" s="68"/>
      <c r="N114" s="67"/>
      <c r="O114" s="68" t="n">
        <f aca="false">P114+Q114</f>
        <v>0</v>
      </c>
      <c r="P114" s="68"/>
      <c r="Q114" s="69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17"/>
      <c r="B115" s="18"/>
      <c r="C115" s="18"/>
      <c r="D115" s="18"/>
      <c r="E115" s="18"/>
      <c r="F115" s="57"/>
      <c r="G115" s="27" t="s">
        <v>23</v>
      </c>
      <c r="H115" s="86"/>
      <c r="I115" s="58"/>
      <c r="J115" s="58"/>
      <c r="K115" s="59" t="n">
        <f aca="false">L115+M115</f>
        <v>0</v>
      </c>
      <c r="L115" s="59"/>
      <c r="M115" s="59"/>
      <c r="N115" s="58"/>
      <c r="O115" s="59" t="n">
        <f aca="false">P115+Q115</f>
        <v>0</v>
      </c>
      <c r="P115" s="59"/>
      <c r="Q115" s="60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54"/>
      <c r="B116" s="55" t="s">
        <v>99</v>
      </c>
      <c r="C116" s="56" t="s">
        <v>33</v>
      </c>
      <c r="D116" s="56" t="s">
        <v>100</v>
      </c>
      <c r="E116" s="56" t="s">
        <v>101</v>
      </c>
      <c r="F116" s="36"/>
      <c r="G116" s="37" t="s">
        <v>22</v>
      </c>
      <c r="H116" s="114" t="n">
        <v>11</v>
      </c>
      <c r="I116" s="61" t="n">
        <v>11</v>
      </c>
      <c r="J116" s="61" t="n">
        <v>14</v>
      </c>
      <c r="K116" s="62" t="n">
        <f aca="false">L116+M116</f>
        <v>0</v>
      </c>
      <c r="L116" s="62"/>
      <c r="M116" s="62"/>
      <c r="N116" s="61" t="n">
        <v>6</v>
      </c>
      <c r="O116" s="62" t="n">
        <f aca="false">P116+Q116</f>
        <v>0</v>
      </c>
      <c r="P116" s="62"/>
      <c r="Q116" s="63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54"/>
      <c r="B117" s="55"/>
      <c r="C117" s="55"/>
      <c r="D117" s="55"/>
      <c r="E117" s="55"/>
      <c r="F117" s="80" t="s">
        <v>191</v>
      </c>
      <c r="G117" s="81" t="s">
        <v>26</v>
      </c>
      <c r="H117" s="119" t="n">
        <v>5</v>
      </c>
      <c r="I117" s="82"/>
      <c r="J117" s="82"/>
      <c r="K117" s="83" t="n">
        <f aca="false">L117+M117</f>
        <v>0</v>
      </c>
      <c r="L117" s="83"/>
      <c r="M117" s="83"/>
      <c r="N117" s="82" t="n">
        <v>2</v>
      </c>
      <c r="O117" s="83" t="n">
        <f aca="false">P117+Q117</f>
        <v>0</v>
      </c>
      <c r="P117" s="83"/>
      <c r="Q117" s="84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.75" hidden="false" customHeight="true" outlineLevel="0" collapsed="false">
      <c r="A118" s="54"/>
      <c r="B118" s="55"/>
      <c r="C118" s="55"/>
      <c r="D118" s="55"/>
      <c r="E118" s="55"/>
      <c r="F118" s="26"/>
      <c r="G118" s="27" t="s">
        <v>23</v>
      </c>
      <c r="H118" s="115"/>
      <c r="I118" s="58"/>
      <c r="J118" s="58"/>
      <c r="K118" s="59" t="n">
        <f aca="false">L118+M118</f>
        <v>0</v>
      </c>
      <c r="L118" s="59"/>
      <c r="M118" s="59"/>
      <c r="N118" s="58"/>
      <c r="O118" s="59" t="n">
        <f aca="false">P118+Q118</f>
        <v>0</v>
      </c>
      <c r="P118" s="59"/>
      <c r="Q118" s="60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33"/>
      <c r="B119" s="34" t="s">
        <v>102</v>
      </c>
      <c r="C119" s="35" t="s">
        <v>20</v>
      </c>
      <c r="D119" s="35"/>
      <c r="E119" s="35" t="s">
        <v>25</v>
      </c>
      <c r="F119" s="36"/>
      <c r="G119" s="21" t="s">
        <v>22</v>
      </c>
      <c r="H119" s="119" t="n">
        <v>6</v>
      </c>
      <c r="I119" s="61" t="n">
        <v>2</v>
      </c>
      <c r="J119" s="61" t="n">
        <v>2</v>
      </c>
      <c r="K119" s="62" t="n">
        <f aca="false">L119+M119</f>
        <v>0</v>
      </c>
      <c r="L119" s="62"/>
      <c r="M119" s="62"/>
      <c r="N119" s="61" t="n">
        <v>2</v>
      </c>
      <c r="O119" s="62" t="n">
        <f aca="false">P119+Q119</f>
        <v>0</v>
      </c>
      <c r="P119" s="62"/>
      <c r="Q119" s="63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.75" hidden="false" customHeight="true" outlineLevel="0" collapsed="false">
      <c r="A120" s="33"/>
      <c r="B120" s="34"/>
      <c r="C120" s="34"/>
      <c r="D120" s="34"/>
      <c r="E120" s="34"/>
      <c r="F120" s="42" t="s">
        <v>192</v>
      </c>
      <c r="G120" s="43" t="s">
        <v>26</v>
      </c>
      <c r="H120" s="118" t="n">
        <v>2</v>
      </c>
      <c r="I120" s="64"/>
      <c r="J120" s="64"/>
      <c r="K120" s="65" t="n">
        <f aca="false">L120+M120</f>
        <v>0</v>
      </c>
      <c r="L120" s="65"/>
      <c r="M120" s="65"/>
      <c r="N120" s="64"/>
      <c r="O120" s="65" t="n">
        <f aca="false">P120+Q120</f>
        <v>0</v>
      </c>
      <c r="P120" s="65"/>
      <c r="Q120" s="66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" hidden="false" customHeight="true" outlineLevel="0" collapsed="false">
      <c r="A121" s="17"/>
      <c r="B121" s="18" t="s">
        <v>103</v>
      </c>
      <c r="C121" s="19" t="s">
        <v>20</v>
      </c>
      <c r="D121" s="19"/>
      <c r="E121" s="19" t="s">
        <v>52</v>
      </c>
      <c r="F121" s="20"/>
      <c r="G121" s="21" t="s">
        <v>22</v>
      </c>
      <c r="H121" s="116"/>
      <c r="I121" s="67"/>
      <c r="J121" s="67"/>
      <c r="K121" s="68" t="n">
        <f aca="false">L121+M121</f>
        <v>0</v>
      </c>
      <c r="L121" s="68"/>
      <c r="M121" s="68"/>
      <c r="N121" s="67" t="n">
        <v>2</v>
      </c>
      <c r="O121" s="68" t="n">
        <f aca="false">P121+Q121</f>
        <v>0</v>
      </c>
      <c r="P121" s="68"/>
      <c r="Q121" s="69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17"/>
      <c r="B122" s="18"/>
      <c r="C122" s="18"/>
      <c r="D122" s="18"/>
      <c r="E122" s="18"/>
      <c r="F122" s="26" t="s">
        <v>193</v>
      </c>
      <c r="G122" s="27" t="s">
        <v>26</v>
      </c>
      <c r="H122" s="117" t="n">
        <v>5</v>
      </c>
      <c r="I122" s="58"/>
      <c r="J122" s="58"/>
      <c r="K122" s="59" t="n">
        <f aca="false">L122+M122</f>
        <v>0</v>
      </c>
      <c r="L122" s="59"/>
      <c r="M122" s="59"/>
      <c r="N122" s="58" t="n">
        <v>1</v>
      </c>
      <c r="O122" s="59" t="n">
        <f aca="false">P122+Q122</f>
        <v>0</v>
      </c>
      <c r="P122" s="59"/>
      <c r="Q122" s="60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" hidden="false" customHeight="true" outlineLevel="0" collapsed="false">
      <c r="A123" s="54"/>
      <c r="B123" s="55" t="s">
        <v>104</v>
      </c>
      <c r="C123" s="56" t="s">
        <v>20</v>
      </c>
      <c r="D123" s="56"/>
      <c r="E123" s="56" t="s">
        <v>25</v>
      </c>
      <c r="F123" s="22"/>
      <c r="G123" s="21" t="s">
        <v>22</v>
      </c>
      <c r="H123" s="116"/>
      <c r="I123" s="61"/>
      <c r="J123" s="61"/>
      <c r="K123" s="62" t="n">
        <f aca="false">L123+M123</f>
        <v>0</v>
      </c>
      <c r="L123" s="62"/>
      <c r="M123" s="62"/>
      <c r="N123" s="61"/>
      <c r="O123" s="62" t="n">
        <f aca="false">P123+Q123</f>
        <v>0</v>
      </c>
      <c r="P123" s="62"/>
      <c r="Q123" s="63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57"/>
      <c r="G124" s="27" t="s">
        <v>26</v>
      </c>
      <c r="H124" s="115"/>
      <c r="I124" s="58"/>
      <c r="J124" s="58"/>
      <c r="K124" s="59" t="n">
        <f aca="false">L124+M124</f>
        <v>0</v>
      </c>
      <c r="L124" s="59"/>
      <c r="M124" s="59"/>
      <c r="N124" s="58"/>
      <c r="O124" s="59" t="n">
        <f aca="false">P124+Q124</f>
        <v>0</v>
      </c>
      <c r="P124" s="59"/>
      <c r="Q124" s="60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.75" hidden="false" customHeight="true" outlineLevel="0" collapsed="false">
      <c r="A125" s="33"/>
      <c r="B125" s="34" t="s">
        <v>105</v>
      </c>
      <c r="C125" s="35" t="s">
        <v>33</v>
      </c>
      <c r="D125" s="35" t="s">
        <v>106</v>
      </c>
      <c r="E125" s="35" t="s">
        <v>107</v>
      </c>
      <c r="F125" s="36"/>
      <c r="G125" s="21" t="s">
        <v>22</v>
      </c>
      <c r="H125" s="116"/>
      <c r="I125" s="61"/>
      <c r="J125" s="61"/>
      <c r="K125" s="62" t="n">
        <f aca="false">L125+M125</f>
        <v>0</v>
      </c>
      <c r="L125" s="62"/>
      <c r="M125" s="62"/>
      <c r="N125" s="61" t="n">
        <v>6</v>
      </c>
      <c r="O125" s="62" t="n">
        <f aca="false">P125+Q125</f>
        <v>7780.05</v>
      </c>
      <c r="P125" s="62" t="n">
        <v>7780.05</v>
      </c>
      <c r="Q125" s="63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.75" hidden="false" customHeight="true" outlineLevel="0" collapsed="false">
      <c r="A126" s="33"/>
      <c r="B126" s="34"/>
      <c r="C126" s="34"/>
      <c r="D126" s="34"/>
      <c r="E126" s="34"/>
      <c r="F126" s="42" t="s">
        <v>194</v>
      </c>
      <c r="G126" s="43" t="s">
        <v>26</v>
      </c>
      <c r="H126" s="115"/>
      <c r="I126" s="64"/>
      <c r="J126" s="64"/>
      <c r="K126" s="65" t="n">
        <v>881</v>
      </c>
      <c r="L126" s="65" t="n">
        <v>881</v>
      </c>
      <c r="M126" s="65"/>
      <c r="N126" s="64" t="n">
        <v>6</v>
      </c>
      <c r="O126" s="65" t="n">
        <f aca="false">P126+Q126</f>
        <v>0</v>
      </c>
      <c r="P126" s="65"/>
      <c r="Q126" s="66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.75" hidden="false" customHeight="true" outlineLevel="0" collapsed="false">
      <c r="A127" s="72"/>
      <c r="B127" s="73" t="s">
        <v>108</v>
      </c>
      <c r="C127" s="74" t="s">
        <v>33</v>
      </c>
      <c r="D127" s="74" t="s">
        <v>109</v>
      </c>
      <c r="E127" s="74" t="s">
        <v>25</v>
      </c>
      <c r="F127" s="20"/>
      <c r="G127" s="21" t="s">
        <v>22</v>
      </c>
      <c r="H127" s="114" t="n">
        <v>5</v>
      </c>
      <c r="I127" s="67" t="n">
        <v>3</v>
      </c>
      <c r="J127" s="67" t="n">
        <v>3</v>
      </c>
      <c r="K127" s="68" t="n">
        <f aca="false">L127+M127</f>
        <v>0</v>
      </c>
      <c r="L127" s="68"/>
      <c r="M127" s="68"/>
      <c r="N127" s="67" t="n">
        <v>7</v>
      </c>
      <c r="O127" s="68" t="n">
        <f aca="false">P127+Q127</f>
        <v>0</v>
      </c>
      <c r="P127" s="68"/>
      <c r="Q127" s="69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72"/>
      <c r="B128" s="73"/>
      <c r="C128" s="73"/>
      <c r="D128" s="73"/>
      <c r="E128" s="73"/>
      <c r="F128" s="42" t="s">
        <v>195</v>
      </c>
      <c r="G128" s="43" t="s">
        <v>26</v>
      </c>
      <c r="H128" s="117" t="n">
        <v>2</v>
      </c>
      <c r="I128" s="64"/>
      <c r="J128" s="64"/>
      <c r="K128" s="65" t="n">
        <f aca="false">L128+M128</f>
        <v>0</v>
      </c>
      <c r="L128" s="65"/>
      <c r="M128" s="65"/>
      <c r="N128" s="64" t="n">
        <v>2</v>
      </c>
      <c r="O128" s="65" t="n">
        <f aca="false">P128+Q128</f>
        <v>0</v>
      </c>
      <c r="P128" s="65"/>
      <c r="Q128" s="66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.75" hidden="false" customHeight="true" outlineLevel="0" collapsed="false">
      <c r="A129" s="17"/>
      <c r="B129" s="18" t="s">
        <v>110</v>
      </c>
      <c r="C129" s="19" t="s">
        <v>33</v>
      </c>
      <c r="D129" s="19" t="s">
        <v>111</v>
      </c>
      <c r="E129" s="19" t="s">
        <v>25</v>
      </c>
      <c r="F129" s="20"/>
      <c r="G129" s="21" t="s">
        <v>22</v>
      </c>
      <c r="H129" s="114" t="n">
        <v>15</v>
      </c>
      <c r="I129" s="67" t="n">
        <v>7</v>
      </c>
      <c r="J129" s="22" t="n">
        <v>7</v>
      </c>
      <c r="K129" s="68" t="n">
        <f aca="false">L129+M129</f>
        <v>1494.18</v>
      </c>
      <c r="L129" s="68" t="n">
        <v>1494.18</v>
      </c>
      <c r="M129" s="68"/>
      <c r="N129" s="67" t="n">
        <v>6</v>
      </c>
      <c r="O129" s="68" t="n">
        <f aca="false">P129+Q129</f>
        <v>8854.81</v>
      </c>
      <c r="P129" s="68" t="n">
        <v>8854.81</v>
      </c>
      <c r="Q129" s="69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26" t="s">
        <v>196</v>
      </c>
      <c r="G130" s="27" t="s">
        <v>26</v>
      </c>
      <c r="H130" s="115"/>
      <c r="I130" s="58"/>
      <c r="J130" s="58"/>
      <c r="K130" s="59" t="n">
        <f aca="false">L130+M130</f>
        <v>0</v>
      </c>
      <c r="L130" s="59"/>
      <c r="M130" s="59"/>
      <c r="N130" s="58" t="n">
        <v>2</v>
      </c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.75" hidden="false" customHeight="true" outlineLevel="0" collapsed="false">
      <c r="A131" s="33"/>
      <c r="B131" s="34" t="s">
        <v>112</v>
      </c>
      <c r="C131" s="35" t="s">
        <v>20</v>
      </c>
      <c r="D131" s="35" t="s">
        <v>197</v>
      </c>
      <c r="E131" s="35" t="s">
        <v>25</v>
      </c>
      <c r="F131" s="36"/>
      <c r="G131" s="21" t="s">
        <v>22</v>
      </c>
      <c r="H131" s="114" t="n">
        <v>4</v>
      </c>
      <c r="I131" s="61" t="n">
        <v>4</v>
      </c>
      <c r="J131" s="61" t="n">
        <v>5</v>
      </c>
      <c r="K131" s="94" t="n">
        <f aca="false">L131+M131</f>
        <v>1162.92</v>
      </c>
      <c r="L131" s="140" t="n">
        <v>116.25</v>
      </c>
      <c r="M131" s="62" t="n">
        <v>1046.67</v>
      </c>
      <c r="N131" s="61"/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33"/>
      <c r="B132" s="34"/>
      <c r="C132" s="34"/>
      <c r="D132" s="34"/>
      <c r="E132" s="34"/>
      <c r="F132" s="26" t="s">
        <v>198</v>
      </c>
      <c r="G132" s="27" t="s">
        <v>26</v>
      </c>
      <c r="H132" s="117" t="n">
        <v>1</v>
      </c>
      <c r="I132" s="64"/>
      <c r="J132" s="64"/>
      <c r="K132" s="65" t="n">
        <f aca="false">L132+M132</f>
        <v>0</v>
      </c>
      <c r="L132" s="65"/>
      <c r="M132" s="65"/>
      <c r="N132" s="64" t="n">
        <v>1</v>
      </c>
      <c r="O132" s="65" t="n">
        <f aca="false">P132+Q132</f>
        <v>0</v>
      </c>
      <c r="P132" s="65"/>
      <c r="Q132" s="66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" hidden="false" customHeight="true" outlineLevel="0" collapsed="false">
      <c r="A133" s="17"/>
      <c r="B133" s="18" t="s">
        <v>113</v>
      </c>
      <c r="C133" s="19" t="s">
        <v>20</v>
      </c>
      <c r="D133" s="19"/>
      <c r="E133" s="19" t="s">
        <v>31</v>
      </c>
      <c r="F133" s="36"/>
      <c r="G133" s="21" t="s">
        <v>22</v>
      </c>
      <c r="H133" s="114" t="n">
        <v>3</v>
      </c>
      <c r="I133" s="67" t="n">
        <v>3</v>
      </c>
      <c r="J133" s="67" t="n">
        <v>3</v>
      </c>
      <c r="K133" s="68" t="n">
        <f aca="false">L133+M133</f>
        <v>4858.85</v>
      </c>
      <c r="L133" s="68" t="n">
        <v>4858.85</v>
      </c>
      <c r="M133" s="68"/>
      <c r="N133" s="67" t="n">
        <v>1</v>
      </c>
      <c r="O133" s="68" t="n">
        <f aca="false">P133+Q133</f>
        <v>1583.16</v>
      </c>
      <c r="P133" s="68" t="n">
        <v>1583.16</v>
      </c>
      <c r="Q133" s="69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17"/>
      <c r="B134" s="18"/>
      <c r="C134" s="18"/>
      <c r="D134" s="18"/>
      <c r="E134" s="18"/>
      <c r="F134" s="57"/>
      <c r="G134" s="27" t="s">
        <v>26</v>
      </c>
      <c r="H134" s="115"/>
      <c r="I134" s="58"/>
      <c r="J134" s="58"/>
      <c r="K134" s="59" t="n">
        <f aca="false">L134+M134</f>
        <v>0</v>
      </c>
      <c r="L134" s="59"/>
      <c r="M134" s="59"/>
      <c r="N134" s="58"/>
      <c r="O134" s="59" t="n">
        <f aca="false">P134+Q134</f>
        <v>0</v>
      </c>
      <c r="P134" s="59"/>
      <c r="Q134" s="60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" hidden="false" customHeight="true" outlineLevel="0" collapsed="false">
      <c r="A135" s="33"/>
      <c r="B135" s="34" t="s">
        <v>114</v>
      </c>
      <c r="C135" s="35" t="s">
        <v>20</v>
      </c>
      <c r="D135" s="95"/>
      <c r="E135" s="35" t="s">
        <v>25</v>
      </c>
      <c r="F135" s="71"/>
      <c r="G135" s="21" t="s">
        <v>22</v>
      </c>
      <c r="H135" s="116"/>
      <c r="I135" s="61"/>
      <c r="J135" s="61"/>
      <c r="K135" s="62" t="n">
        <f aca="false">L135+M135</f>
        <v>0</v>
      </c>
      <c r="L135" s="62"/>
      <c r="M135" s="62"/>
      <c r="N135" s="61"/>
      <c r="O135" s="62" t="n">
        <f aca="false">P135+Q135</f>
        <v>0</v>
      </c>
      <c r="P135" s="62"/>
      <c r="Q135" s="63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33"/>
      <c r="B136" s="34"/>
      <c r="C136" s="34"/>
      <c r="D136" s="34"/>
      <c r="E136" s="34"/>
      <c r="F136" s="42" t="s">
        <v>199</v>
      </c>
      <c r="G136" s="43" t="s">
        <v>26</v>
      </c>
      <c r="H136" s="122" t="n">
        <v>2</v>
      </c>
      <c r="I136" s="64"/>
      <c r="J136" s="64"/>
      <c r="K136" s="65" t="n">
        <f aca="false">L136+M136</f>
        <v>0</v>
      </c>
      <c r="L136" s="65"/>
      <c r="M136" s="65"/>
      <c r="N136" s="64"/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200</v>
      </c>
      <c r="C137" s="141"/>
      <c r="D137" s="19"/>
      <c r="E137" s="19"/>
      <c r="F137" s="20"/>
      <c r="G137" s="21" t="s">
        <v>22</v>
      </c>
      <c r="H137" s="125" t="n">
        <v>1</v>
      </c>
      <c r="I137" s="67"/>
      <c r="J137" s="67"/>
      <c r="K137" s="68" t="n">
        <f aca="false">L137+M137</f>
        <v>0</v>
      </c>
      <c r="L137" s="68"/>
      <c r="M137" s="68"/>
      <c r="N137" s="67"/>
      <c r="O137" s="68" t="n">
        <f aca="false">P137+Q137</f>
        <v>0</v>
      </c>
      <c r="P137" s="68"/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57"/>
      <c r="G138" s="27" t="s">
        <v>26</v>
      </c>
      <c r="H138" s="86"/>
      <c r="I138" s="58"/>
      <c r="J138" s="58"/>
      <c r="K138" s="59" t="n">
        <f aca="false">L138+M138</f>
        <v>0</v>
      </c>
      <c r="L138" s="59"/>
      <c r="M138" s="59"/>
      <c r="N138" s="58"/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54"/>
      <c r="B139" s="55" t="s">
        <v>115</v>
      </c>
      <c r="C139" s="56" t="s">
        <v>20</v>
      </c>
      <c r="D139" s="56"/>
      <c r="E139" s="56" t="s">
        <v>116</v>
      </c>
      <c r="F139" s="36"/>
      <c r="G139" s="37" t="s">
        <v>22</v>
      </c>
      <c r="H139" s="114" t="n">
        <v>5</v>
      </c>
      <c r="I139" s="61" t="n">
        <v>1</v>
      </c>
      <c r="J139" s="61" t="n">
        <v>1</v>
      </c>
      <c r="K139" s="62" t="n">
        <f aca="false">L139+M139</f>
        <v>264.3</v>
      </c>
      <c r="L139" s="62" t="n">
        <v>264.3</v>
      </c>
      <c r="M139" s="62"/>
      <c r="N139" s="61" t="n">
        <v>3</v>
      </c>
      <c r="O139" s="62" t="n">
        <f aca="false">P139+Q139</f>
        <v>4414.68</v>
      </c>
      <c r="P139" s="62" t="n">
        <v>4414.68</v>
      </c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54"/>
      <c r="B140" s="55"/>
      <c r="C140" s="55"/>
      <c r="D140" s="55"/>
      <c r="E140" s="55"/>
      <c r="F140" s="42" t="s">
        <v>201</v>
      </c>
      <c r="G140" s="43" t="s">
        <v>26</v>
      </c>
      <c r="H140" s="126" t="n">
        <v>5</v>
      </c>
      <c r="I140" s="64"/>
      <c r="J140" s="64"/>
      <c r="K140" s="65" t="n">
        <v>881</v>
      </c>
      <c r="L140" s="65" t="n">
        <v>881</v>
      </c>
      <c r="M140" s="65"/>
      <c r="N140" s="64" t="n">
        <v>2</v>
      </c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157</v>
      </c>
      <c r="C141" s="127"/>
      <c r="D141" s="127"/>
      <c r="E141" s="127"/>
      <c r="F141" s="22"/>
      <c r="G141" s="21" t="s">
        <v>22</v>
      </c>
      <c r="H141" s="112" t="n">
        <v>1</v>
      </c>
      <c r="I141" s="67"/>
      <c r="J141" s="67"/>
      <c r="K141" s="68" t="n">
        <f aca="false">L141+M141</f>
        <v>0</v>
      </c>
      <c r="L141" s="68"/>
      <c r="M141" s="68"/>
      <c r="N141" s="67"/>
      <c r="O141" s="68" t="n">
        <f aca="false">P141+Q141</f>
        <v>0</v>
      </c>
      <c r="P141" s="68"/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" hidden="false" customHeight="false" outlineLevel="0" collapsed="false">
      <c r="A142" s="17"/>
      <c r="B142" s="18"/>
      <c r="C142" s="127"/>
      <c r="D142" s="127"/>
      <c r="E142" s="128"/>
      <c r="F142" s="26" t="s">
        <v>202</v>
      </c>
      <c r="G142" s="27" t="s">
        <v>26</v>
      </c>
      <c r="H142" s="123" t="n">
        <v>1</v>
      </c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" hidden="false" customHeight="true" outlineLevel="0" collapsed="false">
      <c r="A143" s="33"/>
      <c r="B143" s="34" t="s">
        <v>117</v>
      </c>
      <c r="C143" s="35" t="s">
        <v>33</v>
      </c>
      <c r="D143" s="35" t="s">
        <v>118</v>
      </c>
      <c r="E143" s="35" t="s">
        <v>25</v>
      </c>
      <c r="F143" s="89"/>
      <c r="G143" s="37" t="s">
        <v>22</v>
      </c>
      <c r="H143" s="119"/>
      <c r="I143" s="61"/>
      <c r="J143" s="61"/>
      <c r="K143" s="62" t="n">
        <f aca="false">L143+M143</f>
        <v>0</v>
      </c>
      <c r="L143" s="62"/>
      <c r="M143" s="62"/>
      <c r="N143" s="61"/>
      <c r="O143" s="62" t="n">
        <f aca="false">P143+Q143</f>
        <v>0</v>
      </c>
      <c r="P143" s="62"/>
      <c r="Q143" s="63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" hidden="false" customHeight="false" outlineLevel="0" collapsed="false">
      <c r="A144" s="33"/>
      <c r="B144" s="34"/>
      <c r="C144" s="34"/>
      <c r="D144" s="34"/>
      <c r="E144" s="34"/>
      <c r="F144" s="42"/>
      <c r="G144" s="37" t="s">
        <v>23</v>
      </c>
      <c r="H144" s="116"/>
      <c r="I144" s="61"/>
      <c r="J144" s="61"/>
      <c r="K144" s="62" t="n">
        <f aca="false">L144+M144</f>
        <v>0</v>
      </c>
      <c r="L144" s="62"/>
      <c r="M144" s="62"/>
      <c r="N144" s="61" t="n">
        <v>1</v>
      </c>
      <c r="O144" s="62" t="n">
        <f aca="false">P144+Q144</f>
        <v>0</v>
      </c>
      <c r="P144" s="62"/>
      <c r="Q144" s="63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5" hidden="false" customHeight="false" outlineLevel="0" collapsed="false">
      <c r="A145" s="33"/>
      <c r="B145" s="34"/>
      <c r="C145" s="34"/>
      <c r="D145" s="34"/>
      <c r="E145" s="34"/>
      <c r="F145" s="42"/>
      <c r="G145" s="43" t="s">
        <v>26</v>
      </c>
      <c r="H145" s="115"/>
      <c r="I145" s="64"/>
      <c r="J145" s="64"/>
      <c r="K145" s="65" t="n">
        <f aca="false">L145+M145</f>
        <v>0</v>
      </c>
      <c r="L145" s="65"/>
      <c r="M145" s="65"/>
      <c r="N145" s="64" t="n">
        <v>5</v>
      </c>
      <c r="O145" s="65" t="n">
        <f aca="false">P145+Q145</f>
        <v>0</v>
      </c>
      <c r="P145" s="65"/>
      <c r="Q145" s="66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5" hidden="false" customHeight="true" outlineLevel="0" collapsed="false">
      <c r="A146" s="17"/>
      <c r="B146" s="18" t="s">
        <v>119</v>
      </c>
      <c r="C146" s="19" t="s">
        <v>20</v>
      </c>
      <c r="D146" s="19"/>
      <c r="E146" s="19" t="s">
        <v>25</v>
      </c>
      <c r="F146" s="20"/>
      <c r="G146" s="21" t="s">
        <v>22</v>
      </c>
      <c r="H146" s="116"/>
      <c r="I146" s="67"/>
      <c r="J146" s="67"/>
      <c r="K146" s="68" t="n">
        <f aca="false">L146+M146</f>
        <v>0</v>
      </c>
      <c r="L146" s="68"/>
      <c r="M146" s="68"/>
      <c r="N146" s="67" t="n">
        <v>2</v>
      </c>
      <c r="O146" s="68" t="n">
        <f aca="false">P146+Q146</f>
        <v>0</v>
      </c>
      <c r="P146" s="68"/>
      <c r="Q146" s="69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5.75" hidden="false" customHeight="true" outlineLevel="0" collapsed="false">
      <c r="A147" s="17"/>
      <c r="B147" s="18"/>
      <c r="C147" s="18"/>
      <c r="D147" s="18"/>
      <c r="E147" s="18"/>
      <c r="F147" s="26" t="s">
        <v>203</v>
      </c>
      <c r="G147" s="27" t="s">
        <v>26</v>
      </c>
      <c r="H147" s="118" t="n">
        <v>2</v>
      </c>
      <c r="I147" s="58"/>
      <c r="J147" s="58"/>
      <c r="K147" s="59" t="n">
        <f aca="false">L147+M147</f>
        <v>881</v>
      </c>
      <c r="L147" s="59" t="n">
        <v>881</v>
      </c>
      <c r="M147" s="59"/>
      <c r="N147" s="58" t="n">
        <v>1</v>
      </c>
      <c r="O147" s="59" t="n">
        <f aca="false">P147+Q147</f>
        <v>0</v>
      </c>
      <c r="P147" s="59"/>
      <c r="Q147" s="60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5" hidden="false" customHeight="true" outlineLevel="0" collapsed="false">
      <c r="A148" s="54"/>
      <c r="B148" s="55" t="s">
        <v>120</v>
      </c>
      <c r="C148" s="56" t="s">
        <v>20</v>
      </c>
      <c r="D148" s="56"/>
      <c r="E148" s="56" t="s">
        <v>25</v>
      </c>
      <c r="F148" s="36"/>
      <c r="G148" s="21" t="s">
        <v>22</v>
      </c>
      <c r="H148" s="116"/>
      <c r="I148" s="61"/>
      <c r="J148" s="61"/>
      <c r="K148" s="62" t="n">
        <f aca="false">L148+M148</f>
        <v>0</v>
      </c>
      <c r="L148" s="62"/>
      <c r="M148" s="62"/>
      <c r="N148" s="61" t="n">
        <v>3</v>
      </c>
      <c r="O148" s="62" t="n">
        <f aca="false">P148+Q148</f>
        <v>0</v>
      </c>
      <c r="P148" s="62"/>
      <c r="Q148" s="63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5.75" hidden="false" customHeight="true" outlineLevel="0" collapsed="false">
      <c r="A149" s="54"/>
      <c r="B149" s="55"/>
      <c r="C149" s="55"/>
      <c r="D149" s="55"/>
      <c r="E149" s="55"/>
      <c r="F149" s="71"/>
      <c r="G149" s="43" t="s">
        <v>26</v>
      </c>
      <c r="H149" s="124"/>
      <c r="I149" s="64"/>
      <c r="J149" s="64"/>
      <c r="K149" s="65" t="n">
        <f aca="false">L149+M149</f>
        <v>0</v>
      </c>
      <c r="L149" s="65"/>
      <c r="M149" s="65"/>
      <c r="N149" s="64"/>
      <c r="O149" s="65" t="n">
        <f aca="false">P149+Q149</f>
        <v>0</v>
      </c>
      <c r="P149" s="65"/>
      <c r="Q149" s="66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5" hidden="false" customHeight="true" outlineLevel="0" collapsed="false">
      <c r="A150" s="72"/>
      <c r="B150" s="18" t="s">
        <v>158</v>
      </c>
      <c r="C150" s="74"/>
      <c r="D150" s="56" t="s">
        <v>204</v>
      </c>
      <c r="E150" s="74"/>
      <c r="F150" s="53"/>
      <c r="G150" s="21" t="s">
        <v>22</v>
      </c>
      <c r="H150" s="129"/>
      <c r="I150" s="130"/>
      <c r="J150" s="130"/>
      <c r="K150" s="131" t="n">
        <f aca="false">L150+M150</f>
        <v>0</v>
      </c>
      <c r="L150" s="131"/>
      <c r="M150" s="131"/>
      <c r="N150" s="130"/>
      <c r="O150" s="131" t="n">
        <f aca="false">P150+Q150</f>
        <v>0</v>
      </c>
      <c r="P150" s="131"/>
      <c r="Q150" s="13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5" hidden="false" customHeight="false" outlineLevel="0" collapsed="false">
      <c r="A151" s="54"/>
      <c r="B151" s="18"/>
      <c r="C151" s="56"/>
      <c r="D151" s="56"/>
      <c r="E151" s="56"/>
      <c r="F151" s="138" t="s">
        <v>205</v>
      </c>
      <c r="G151" s="27" t="s">
        <v>26</v>
      </c>
      <c r="H151" s="118" t="n">
        <v>2</v>
      </c>
      <c r="I151" s="134"/>
      <c r="J151" s="134"/>
      <c r="K151" s="135" t="n">
        <f aca="false">L151+M151</f>
        <v>0</v>
      </c>
      <c r="L151" s="135"/>
      <c r="M151" s="135"/>
      <c r="N151" s="134"/>
      <c r="O151" s="135" t="n">
        <f aca="false">P151+Q151</f>
        <v>0</v>
      </c>
      <c r="P151" s="135"/>
      <c r="Q151" s="136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" hidden="false" customHeight="true" outlineLevel="0" collapsed="false">
      <c r="A152" s="33"/>
      <c r="B152" s="34" t="s">
        <v>152</v>
      </c>
      <c r="C152" s="35" t="s">
        <v>20</v>
      </c>
      <c r="D152" s="35"/>
      <c r="E152" s="35" t="s">
        <v>25</v>
      </c>
      <c r="F152" s="36"/>
      <c r="G152" s="37" t="s">
        <v>22</v>
      </c>
      <c r="H152" s="116"/>
      <c r="I152" s="61"/>
      <c r="J152" s="61"/>
      <c r="K152" s="62" t="n">
        <f aca="false">L152+M152</f>
        <v>0</v>
      </c>
      <c r="L152" s="62"/>
      <c r="M152" s="62"/>
      <c r="N152" s="61" t="n">
        <v>1</v>
      </c>
      <c r="O152" s="62" t="n">
        <f aca="false">P152+Q152</f>
        <v>0</v>
      </c>
      <c r="P152" s="62"/>
      <c r="Q152" s="63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.75" hidden="false" customHeight="true" outlineLevel="0" collapsed="false">
      <c r="A153" s="33"/>
      <c r="B153" s="34"/>
      <c r="C153" s="34"/>
      <c r="D153" s="34"/>
      <c r="E153" s="34"/>
      <c r="F153" s="42" t="s">
        <v>206</v>
      </c>
      <c r="G153" s="43" t="s">
        <v>26</v>
      </c>
      <c r="H153" s="117" t="n">
        <v>3</v>
      </c>
      <c r="I153" s="64"/>
      <c r="J153" s="64"/>
      <c r="K153" s="65" t="n">
        <v>1145.3</v>
      </c>
      <c r="L153" s="65" t="n">
        <v>1145.3</v>
      </c>
      <c r="M153" s="65"/>
      <c r="N153" s="64" t="n">
        <v>2</v>
      </c>
      <c r="O153" s="65" t="n">
        <f aca="false">P153+Q153</f>
        <v>0</v>
      </c>
      <c r="P153" s="65"/>
      <c r="Q153" s="66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" hidden="false" customHeight="true" outlineLevel="0" collapsed="false">
      <c r="A154" s="17"/>
      <c r="B154" s="18" t="s">
        <v>122</v>
      </c>
      <c r="C154" s="19" t="s">
        <v>20</v>
      </c>
      <c r="D154" s="19"/>
      <c r="E154" s="19" t="s">
        <v>116</v>
      </c>
      <c r="F154" s="20"/>
      <c r="G154" s="21" t="s">
        <v>22</v>
      </c>
      <c r="H154" s="114" t="n">
        <v>11</v>
      </c>
      <c r="I154" s="67" t="n">
        <v>7</v>
      </c>
      <c r="J154" s="67" t="n">
        <v>8</v>
      </c>
      <c r="K154" s="68" t="n">
        <f aca="false">L154+M154</f>
        <v>3607.7</v>
      </c>
      <c r="L154" s="68" t="n">
        <v>3607.7</v>
      </c>
      <c r="M154" s="68"/>
      <c r="N154" s="67" t="n">
        <v>13</v>
      </c>
      <c r="O154" s="68" t="n">
        <f aca="false">P154+Q154</f>
        <v>12768.32</v>
      </c>
      <c r="P154" s="68" t="n">
        <v>12768.32</v>
      </c>
      <c r="Q154" s="69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17"/>
      <c r="B155" s="18"/>
      <c r="C155" s="18"/>
      <c r="D155" s="18"/>
      <c r="E155" s="18"/>
      <c r="F155" s="57"/>
      <c r="G155" s="27" t="s">
        <v>26</v>
      </c>
      <c r="H155" s="115"/>
      <c r="I155" s="58"/>
      <c r="J155" s="58"/>
      <c r="K155" s="59" t="n">
        <f aca="false">L155+M155</f>
        <v>0</v>
      </c>
      <c r="L155" s="59"/>
      <c r="M155" s="59"/>
      <c r="N155" s="58"/>
      <c r="O155" s="59" t="n">
        <f aca="false">P155+Q155</f>
        <v>0</v>
      </c>
      <c r="P155" s="59"/>
      <c r="Q155" s="60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.75" hidden="false" customHeight="true" outlineLevel="0" collapsed="false">
      <c r="A156" s="33"/>
      <c r="B156" s="34" t="s">
        <v>123</v>
      </c>
      <c r="C156" s="35" t="s">
        <v>20</v>
      </c>
      <c r="D156" s="35"/>
      <c r="E156" s="35" t="s">
        <v>25</v>
      </c>
      <c r="F156" s="36"/>
      <c r="G156" s="21" t="s">
        <v>22</v>
      </c>
      <c r="H156" s="114" t="n">
        <v>2</v>
      </c>
      <c r="I156" s="61" t="n">
        <v>2</v>
      </c>
      <c r="J156" s="61" t="n">
        <v>2</v>
      </c>
      <c r="K156" s="62" t="n">
        <f aca="false">L156+M156</f>
        <v>881</v>
      </c>
      <c r="L156" s="62" t="n">
        <v>881</v>
      </c>
      <c r="M156" s="62"/>
      <c r="N156" s="61" t="n">
        <v>1</v>
      </c>
      <c r="O156" s="62" t="n">
        <f aca="false">P156+Q156</f>
        <v>6930.62</v>
      </c>
      <c r="P156" s="62" t="n">
        <v>6930.62</v>
      </c>
      <c r="Q156" s="63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.75" hidden="false" customHeight="true" outlineLevel="0" collapsed="false">
      <c r="A157" s="33"/>
      <c r="B157" s="34"/>
      <c r="C157" s="34"/>
      <c r="D157" s="34"/>
      <c r="E157" s="34"/>
      <c r="F157" s="42" t="s">
        <v>207</v>
      </c>
      <c r="G157" s="43" t="s">
        <v>26</v>
      </c>
      <c r="H157" s="115"/>
      <c r="I157" s="64"/>
      <c r="J157" s="64"/>
      <c r="K157" s="65" t="n">
        <v>881</v>
      </c>
      <c r="L157" s="65" t="n">
        <v>881</v>
      </c>
      <c r="M157" s="65"/>
      <c r="N157" s="64" t="n">
        <v>1</v>
      </c>
      <c r="O157" s="65" t="n">
        <f aca="false">P157+Q157</f>
        <v>0</v>
      </c>
      <c r="P157" s="65"/>
      <c r="Q157" s="66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15.75" hidden="false" customHeight="true" outlineLevel="0" collapsed="false">
      <c r="A158" s="17"/>
      <c r="B158" s="18" t="s">
        <v>124</v>
      </c>
      <c r="C158" s="19" t="s">
        <v>20</v>
      </c>
      <c r="D158" s="19"/>
      <c r="E158" s="19" t="s">
        <v>88</v>
      </c>
      <c r="F158" s="20"/>
      <c r="G158" s="21" t="s">
        <v>22</v>
      </c>
      <c r="H158" s="114" t="n">
        <v>3</v>
      </c>
      <c r="I158" s="67"/>
      <c r="J158" s="67"/>
      <c r="K158" s="68" t="n">
        <f aca="false">L158+M158</f>
        <v>0</v>
      </c>
      <c r="L158" s="68"/>
      <c r="M158" s="68"/>
      <c r="N158" s="67" t="n">
        <v>3</v>
      </c>
      <c r="O158" s="68" t="n">
        <f aca="false">P158+Q158</f>
        <v>0</v>
      </c>
      <c r="P158" s="68"/>
      <c r="Q158" s="69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17"/>
      <c r="B159" s="18"/>
      <c r="C159" s="18"/>
      <c r="D159" s="18"/>
      <c r="E159" s="18"/>
      <c r="F159" s="42"/>
      <c r="G159" s="43" t="s">
        <v>23</v>
      </c>
      <c r="H159" s="126" t="n">
        <v>2</v>
      </c>
      <c r="I159" s="64" t="n">
        <v>2</v>
      </c>
      <c r="J159" s="64" t="n">
        <v>2</v>
      </c>
      <c r="K159" s="65" t="n">
        <v>3976.4</v>
      </c>
      <c r="L159" s="65"/>
      <c r="M159" s="65"/>
      <c r="N159" s="64"/>
      <c r="O159" s="65" t="n">
        <f aca="false">P159+Q159</f>
        <v>0</v>
      </c>
      <c r="P159" s="65"/>
      <c r="Q159" s="66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.75" hidden="false" customHeight="true" outlineLevel="0" collapsed="false">
      <c r="A160" s="17"/>
      <c r="B160" s="18" t="s">
        <v>208</v>
      </c>
      <c r="C160" s="19"/>
      <c r="D160" s="19"/>
      <c r="E160" s="127"/>
      <c r="F160" s="20"/>
      <c r="G160" s="21" t="s">
        <v>22</v>
      </c>
      <c r="H160" s="125" t="n">
        <v>2</v>
      </c>
      <c r="I160" s="67"/>
      <c r="J160" s="67"/>
      <c r="K160" s="68" t="n">
        <f aca="false">L160+M160</f>
        <v>0</v>
      </c>
      <c r="L160" s="68"/>
      <c r="M160" s="68"/>
      <c r="N160" s="67"/>
      <c r="O160" s="68" t="n">
        <f aca="false">P160+Q160</f>
        <v>0</v>
      </c>
      <c r="P160" s="68"/>
      <c r="Q160" s="69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.75" hidden="false" customHeight="true" outlineLevel="0" collapsed="false">
      <c r="A161" s="17"/>
      <c r="B161" s="18"/>
      <c r="C161" s="18"/>
      <c r="D161" s="18"/>
      <c r="E161" s="128"/>
      <c r="F161" s="57"/>
      <c r="G161" s="27" t="s">
        <v>23</v>
      </c>
      <c r="H161" s="86"/>
      <c r="I161" s="58"/>
      <c r="J161" s="58"/>
      <c r="K161" s="59" t="n">
        <f aca="false">L161+M161</f>
        <v>0</v>
      </c>
      <c r="L161" s="59"/>
      <c r="M161" s="59"/>
      <c r="N161" s="58"/>
      <c r="O161" s="59" t="n">
        <f aca="false">P161+Q161</f>
        <v>0</v>
      </c>
      <c r="P161" s="59"/>
      <c r="Q161" s="60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.75" hidden="false" customHeight="true" outlineLevel="0" collapsed="false">
      <c r="A162" s="33"/>
      <c r="B162" s="34" t="s">
        <v>125</v>
      </c>
      <c r="C162" s="35" t="s">
        <v>33</v>
      </c>
      <c r="D162" s="35" t="s">
        <v>126</v>
      </c>
      <c r="E162" s="35" t="s">
        <v>127</v>
      </c>
      <c r="F162" s="36"/>
      <c r="G162" s="37" t="s">
        <v>22</v>
      </c>
      <c r="H162" s="114" t="n">
        <v>5</v>
      </c>
      <c r="I162" s="61" t="n">
        <v>2</v>
      </c>
      <c r="J162" s="61" t="n">
        <v>2</v>
      </c>
      <c r="K162" s="62" t="n">
        <f aca="false">L162+M162</f>
        <v>0</v>
      </c>
      <c r="L162" s="62"/>
      <c r="M162" s="62"/>
      <c r="N162" s="61" t="n">
        <v>5</v>
      </c>
      <c r="O162" s="62" t="n">
        <f aca="false">P162+Q162</f>
        <v>11500.86</v>
      </c>
      <c r="P162" s="62" t="n">
        <v>11500.86</v>
      </c>
      <c r="Q162" s="63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33"/>
      <c r="B163" s="34"/>
      <c r="C163" s="34"/>
      <c r="D163" s="34"/>
      <c r="E163" s="34"/>
      <c r="F163" s="42"/>
      <c r="G163" s="43" t="s">
        <v>23</v>
      </c>
      <c r="H163" s="117" t="n">
        <v>20</v>
      </c>
      <c r="I163" s="64" t="n">
        <v>2</v>
      </c>
      <c r="J163" s="64" t="n">
        <v>2</v>
      </c>
      <c r="K163" s="65" t="n">
        <f aca="false">L163+M163</f>
        <v>0</v>
      </c>
      <c r="L163" s="65"/>
      <c r="M163" s="65"/>
      <c r="N163" s="64" t="n">
        <v>1</v>
      </c>
      <c r="O163" s="65" t="n">
        <v>1409.6</v>
      </c>
      <c r="P163" s="65"/>
      <c r="Q163" s="66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" hidden="false" customHeight="true" outlineLevel="0" collapsed="false">
      <c r="A164" s="17"/>
      <c r="B164" s="18" t="s">
        <v>128</v>
      </c>
      <c r="C164" s="19" t="s">
        <v>20</v>
      </c>
      <c r="D164" s="19"/>
      <c r="E164" s="19" t="s">
        <v>25</v>
      </c>
      <c r="F164" s="20"/>
      <c r="G164" s="21" t="s">
        <v>22</v>
      </c>
      <c r="H164" s="114" t="n">
        <v>13</v>
      </c>
      <c r="I164" s="67" t="n">
        <v>7</v>
      </c>
      <c r="J164" s="67" t="n">
        <v>7</v>
      </c>
      <c r="K164" s="68" t="n">
        <f aca="false">L164+M164</f>
        <v>1708.7</v>
      </c>
      <c r="L164" s="68" t="n">
        <v>1708.7</v>
      </c>
      <c r="M164" s="68"/>
      <c r="N164" s="67" t="n">
        <v>11</v>
      </c>
      <c r="O164" s="68" t="n">
        <f aca="false">P164+Q164</f>
        <v>5312.27</v>
      </c>
      <c r="P164" s="68" t="n">
        <v>5312.27</v>
      </c>
      <c r="Q164" s="69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17"/>
      <c r="B165" s="18"/>
      <c r="C165" s="18"/>
      <c r="D165" s="18"/>
      <c r="E165" s="18"/>
      <c r="F165" s="57"/>
      <c r="G165" s="27" t="s">
        <v>26</v>
      </c>
      <c r="H165" s="115"/>
      <c r="I165" s="58"/>
      <c r="J165" s="58"/>
      <c r="K165" s="59" t="n">
        <f aca="false">L165+M165</f>
        <v>0</v>
      </c>
      <c r="L165" s="59"/>
      <c r="M165" s="59"/>
      <c r="N165" s="58"/>
      <c r="O165" s="59" t="n">
        <f aca="false">P165+Q165</f>
        <v>0</v>
      </c>
      <c r="P165" s="59"/>
      <c r="Q165" s="60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72"/>
      <c r="B166" s="73" t="s">
        <v>129</v>
      </c>
      <c r="C166" s="74" t="s">
        <v>38</v>
      </c>
      <c r="D166" s="74" t="s">
        <v>130</v>
      </c>
      <c r="E166" s="74" t="s">
        <v>25</v>
      </c>
      <c r="F166" s="20"/>
      <c r="G166" s="21" t="s">
        <v>22</v>
      </c>
      <c r="H166" s="114" t="n">
        <v>6</v>
      </c>
      <c r="I166" s="67" t="n">
        <v>5</v>
      </c>
      <c r="J166" s="67" t="n">
        <v>5</v>
      </c>
      <c r="K166" s="68" t="n">
        <f aca="false">L166+M166</f>
        <v>0</v>
      </c>
      <c r="L166" s="68"/>
      <c r="M166" s="68"/>
      <c r="N166" s="67" t="n">
        <v>1</v>
      </c>
      <c r="O166" s="68" t="n">
        <f aca="false">P166+Q166</f>
        <v>0</v>
      </c>
      <c r="P166" s="68"/>
      <c r="Q166" s="69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72"/>
      <c r="B167" s="73"/>
      <c r="C167" s="73"/>
      <c r="D167" s="73"/>
      <c r="E167" s="73"/>
      <c r="F167" s="42" t="s">
        <v>209</v>
      </c>
      <c r="G167" s="43" t="s">
        <v>26</v>
      </c>
      <c r="H167" s="115"/>
      <c r="I167" s="64"/>
      <c r="J167" s="64"/>
      <c r="K167" s="65" t="n">
        <v>1762</v>
      </c>
      <c r="L167" s="65" t="n">
        <v>1762</v>
      </c>
      <c r="M167" s="65"/>
      <c r="N167" s="64" t="n">
        <v>6</v>
      </c>
      <c r="O167" s="65" t="n">
        <f aca="false">P167+Q167</f>
        <v>0</v>
      </c>
      <c r="P167" s="65"/>
      <c r="Q167" s="66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6.5" hidden="false" customHeight="true" outlineLevel="0" collapsed="false">
      <c r="A168" s="17"/>
      <c r="B168" s="18" t="s">
        <v>131</v>
      </c>
      <c r="C168" s="19" t="s">
        <v>38</v>
      </c>
      <c r="D168" s="19" t="s">
        <v>130</v>
      </c>
      <c r="E168" s="19" t="s">
        <v>25</v>
      </c>
      <c r="F168" s="20"/>
      <c r="G168" s="21" t="s">
        <v>22</v>
      </c>
      <c r="H168" s="114" t="n">
        <v>6</v>
      </c>
      <c r="I168" s="67" t="n">
        <v>4</v>
      </c>
      <c r="J168" s="67" t="n">
        <v>5</v>
      </c>
      <c r="K168" s="68" t="n">
        <f aca="false">L168+M168</f>
        <v>5349.43</v>
      </c>
      <c r="L168" s="68" t="n">
        <v>5349.43</v>
      </c>
      <c r="M168" s="68"/>
      <c r="N168" s="67" t="n">
        <v>3</v>
      </c>
      <c r="O168" s="68" t="n">
        <f aca="false">P168+Q168</f>
        <v>1920.58</v>
      </c>
      <c r="P168" s="68" t="n">
        <v>1920.58</v>
      </c>
      <c r="Q168" s="69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6.5" hidden="false" customHeight="true" outlineLevel="0" collapsed="false">
      <c r="A169" s="17"/>
      <c r="B169" s="18"/>
      <c r="C169" s="18"/>
      <c r="D169" s="18"/>
      <c r="E169" s="18"/>
      <c r="F169" s="26" t="s">
        <v>210</v>
      </c>
      <c r="G169" s="27" t="s">
        <v>26</v>
      </c>
      <c r="H169" s="118" t="n">
        <v>2</v>
      </c>
      <c r="I169" s="58" t="n">
        <v>2</v>
      </c>
      <c r="J169" s="58" t="n">
        <v>2</v>
      </c>
      <c r="K169" s="59" t="n">
        <f aca="false">L169+M169</f>
        <v>0</v>
      </c>
      <c r="L169" s="59"/>
      <c r="M169" s="59"/>
      <c r="N169" s="58"/>
      <c r="O169" s="59" t="n">
        <f aca="false">P169+Q169</f>
        <v>0</v>
      </c>
      <c r="P169" s="59"/>
      <c r="Q169" s="96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6.5" hidden="false" customHeight="true" outlineLevel="0" collapsed="false">
      <c r="A170" s="33"/>
      <c r="B170" s="34" t="s">
        <v>132</v>
      </c>
      <c r="C170" s="35" t="s">
        <v>20</v>
      </c>
      <c r="D170" s="35"/>
      <c r="E170" s="35" t="s">
        <v>69</v>
      </c>
      <c r="F170" s="38"/>
      <c r="G170" s="21" t="s">
        <v>22</v>
      </c>
      <c r="H170" s="114" t="n">
        <v>4</v>
      </c>
      <c r="I170" s="61"/>
      <c r="J170" s="61"/>
      <c r="K170" s="62" t="n">
        <f aca="false">L170+M170</f>
        <v>0</v>
      </c>
      <c r="L170" s="62"/>
      <c r="M170" s="62"/>
      <c r="N170" s="61"/>
      <c r="O170" s="62" t="n">
        <f aca="false">P170+Q170</f>
        <v>0</v>
      </c>
      <c r="P170" s="62"/>
      <c r="Q170" s="63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6.5" hidden="false" customHeight="true" outlineLevel="0" collapsed="false">
      <c r="A171" s="33"/>
      <c r="B171" s="34"/>
      <c r="C171" s="34"/>
      <c r="D171" s="34"/>
      <c r="E171" s="34"/>
      <c r="F171" s="42" t="s">
        <v>211</v>
      </c>
      <c r="G171" s="43" t="s">
        <v>26</v>
      </c>
      <c r="H171" s="118" t="n">
        <v>5</v>
      </c>
      <c r="I171" s="64"/>
      <c r="J171" s="64"/>
      <c r="K171" s="65" t="n">
        <f aca="false">L171+M171</f>
        <v>0</v>
      </c>
      <c r="L171" s="65"/>
      <c r="M171" s="65"/>
      <c r="N171" s="64"/>
      <c r="O171" s="65" t="n">
        <f aca="false">P171+Q171</f>
        <v>0</v>
      </c>
      <c r="P171" s="65"/>
      <c r="Q171" s="66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6.5" hidden="false" customHeight="true" outlineLevel="0" collapsed="false">
      <c r="A172" s="72"/>
      <c r="B172" s="73" t="s">
        <v>133</v>
      </c>
      <c r="C172" s="74" t="s">
        <v>20</v>
      </c>
      <c r="D172" s="74"/>
      <c r="E172" s="74" t="s">
        <v>25</v>
      </c>
      <c r="F172" s="22"/>
      <c r="G172" s="21" t="s">
        <v>22</v>
      </c>
      <c r="H172" s="114" t="n">
        <v>1</v>
      </c>
      <c r="I172" s="67"/>
      <c r="J172" s="67"/>
      <c r="K172" s="68" t="n">
        <f aca="false">L172+M172</f>
        <v>0</v>
      </c>
      <c r="L172" s="68"/>
      <c r="M172" s="68"/>
      <c r="N172" s="67"/>
      <c r="O172" s="68" t="n">
        <f aca="false">P172+Q172</f>
        <v>0</v>
      </c>
      <c r="P172" s="68"/>
      <c r="Q172" s="69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6.5" hidden="false" customHeight="true" outlineLevel="0" collapsed="false">
      <c r="A173" s="72"/>
      <c r="B173" s="73"/>
      <c r="C173" s="73"/>
      <c r="D173" s="73"/>
      <c r="E173" s="73"/>
      <c r="F173" s="42" t="s">
        <v>212</v>
      </c>
      <c r="G173" s="43" t="s">
        <v>26</v>
      </c>
      <c r="H173" s="117" t="n">
        <v>3</v>
      </c>
      <c r="I173" s="64"/>
      <c r="J173" s="64"/>
      <c r="K173" s="65" t="n">
        <f aca="false">L173+M173</f>
        <v>0</v>
      </c>
      <c r="L173" s="65"/>
      <c r="M173" s="65"/>
      <c r="N173" s="64"/>
      <c r="O173" s="65" t="n">
        <f aca="false">P173+Q173</f>
        <v>0</v>
      </c>
      <c r="P173" s="65"/>
      <c r="Q173" s="66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6.5" hidden="false" customHeight="true" outlineLevel="0" collapsed="false">
      <c r="A174" s="72"/>
      <c r="B174" s="73" t="s">
        <v>134</v>
      </c>
      <c r="C174" s="74" t="s">
        <v>20</v>
      </c>
      <c r="D174" s="74"/>
      <c r="E174" s="74" t="s">
        <v>25</v>
      </c>
      <c r="F174" s="20"/>
      <c r="G174" s="21" t="s">
        <v>22</v>
      </c>
      <c r="H174" s="119"/>
      <c r="I174" s="67"/>
      <c r="J174" s="67"/>
      <c r="K174" s="68" t="n">
        <f aca="false">L174+M174</f>
        <v>0</v>
      </c>
      <c r="L174" s="68"/>
      <c r="M174" s="68"/>
      <c r="N174" s="67"/>
      <c r="O174" s="68" t="n">
        <f aca="false">P174+Q174</f>
        <v>0</v>
      </c>
      <c r="P174" s="68"/>
      <c r="Q174" s="69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.75" hidden="false" customHeight="true" outlineLevel="0" collapsed="false">
      <c r="A175" s="72"/>
      <c r="B175" s="73"/>
      <c r="C175" s="73"/>
      <c r="D175" s="73"/>
      <c r="E175" s="73"/>
      <c r="F175" s="42" t="s">
        <v>213</v>
      </c>
      <c r="G175" s="43" t="s">
        <v>26</v>
      </c>
      <c r="H175" s="118" t="n">
        <v>1</v>
      </c>
      <c r="I175" s="64"/>
      <c r="J175" s="64"/>
      <c r="K175" s="65" t="n">
        <f aca="false">L175+M175</f>
        <v>0</v>
      </c>
      <c r="L175" s="65"/>
      <c r="M175" s="65"/>
      <c r="N175" s="64" t="n">
        <v>2</v>
      </c>
      <c r="O175" s="65" t="n">
        <f aca="false">P175+Q175</f>
        <v>0</v>
      </c>
      <c r="P175" s="65"/>
      <c r="Q175" s="66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" hidden="false" customHeight="true" outlineLevel="0" collapsed="false">
      <c r="A176" s="17"/>
      <c r="B176" s="18" t="s">
        <v>135</v>
      </c>
      <c r="C176" s="19" t="s">
        <v>20</v>
      </c>
      <c r="D176" s="19"/>
      <c r="E176" s="19" t="s">
        <v>69</v>
      </c>
      <c r="F176" s="22"/>
      <c r="G176" s="21" t="s">
        <v>22</v>
      </c>
      <c r="H176" s="114" t="n">
        <v>6</v>
      </c>
      <c r="I176" s="67" t="n">
        <v>2</v>
      </c>
      <c r="J176" s="67" t="n">
        <v>2</v>
      </c>
      <c r="K176" s="68" t="n">
        <f aca="false">L176+M176</f>
        <v>0</v>
      </c>
      <c r="L176" s="68"/>
      <c r="M176" s="68"/>
      <c r="N176" s="67" t="n">
        <v>2</v>
      </c>
      <c r="O176" s="68" t="n">
        <f aca="false">P176+Q176</f>
        <v>0</v>
      </c>
      <c r="P176" s="68"/>
      <c r="Q176" s="69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17"/>
      <c r="B177" s="18"/>
      <c r="C177" s="18"/>
      <c r="D177" s="18"/>
      <c r="E177" s="18"/>
      <c r="F177" s="26"/>
      <c r="G177" s="27" t="s">
        <v>26</v>
      </c>
      <c r="H177" s="117" t="n">
        <v>1</v>
      </c>
      <c r="I177" s="58"/>
      <c r="J177" s="58"/>
      <c r="K177" s="59" t="n">
        <f aca="false">L177+M177</f>
        <v>0</v>
      </c>
      <c r="L177" s="59"/>
      <c r="M177" s="59"/>
      <c r="N177" s="58" t="n">
        <v>1</v>
      </c>
      <c r="O177" s="59" t="n">
        <f aca="false">P177+Q177</f>
        <v>0</v>
      </c>
      <c r="P177" s="59"/>
      <c r="Q177" s="60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5.75" hidden="false" customHeight="true" outlineLevel="0" collapsed="false">
      <c r="A178" s="33"/>
      <c r="B178" s="34" t="s">
        <v>136</v>
      </c>
      <c r="C178" s="35" t="s">
        <v>20</v>
      </c>
      <c r="D178" s="35"/>
      <c r="E178" s="35" t="s">
        <v>98</v>
      </c>
      <c r="F178" s="36"/>
      <c r="G178" s="21" t="s">
        <v>22</v>
      </c>
      <c r="H178" s="114" t="n">
        <v>9</v>
      </c>
      <c r="I178" s="61" t="n">
        <v>4</v>
      </c>
      <c r="J178" s="61" t="n">
        <v>4</v>
      </c>
      <c r="K178" s="62" t="n">
        <f aca="false">L178+M178</f>
        <v>0</v>
      </c>
      <c r="L178" s="62"/>
      <c r="M178" s="62"/>
      <c r="N178" s="61" t="n">
        <v>6</v>
      </c>
      <c r="O178" s="62" t="n">
        <f aca="false">P178+Q178</f>
        <v>0</v>
      </c>
      <c r="P178" s="62"/>
      <c r="Q178" s="63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/>
      <c r="G179" s="43" t="s">
        <v>23</v>
      </c>
      <c r="H179" s="117" t="n">
        <v>5</v>
      </c>
      <c r="I179" s="64" t="n">
        <v>3</v>
      </c>
      <c r="J179" s="64" t="n">
        <v>3</v>
      </c>
      <c r="K179" s="65" t="n">
        <f aca="false">L179+M179</f>
        <v>0</v>
      </c>
      <c r="L179" s="65"/>
      <c r="M179" s="65"/>
      <c r="N179" s="64"/>
      <c r="O179" s="65" t="n">
        <f aca="false">P179+Q179</f>
        <v>0</v>
      </c>
      <c r="P179" s="65"/>
      <c r="Q179" s="66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5.75" hidden="false" customHeight="true" outlineLevel="0" collapsed="false">
      <c r="A180" s="17"/>
      <c r="B180" s="18" t="s">
        <v>137</v>
      </c>
      <c r="C180" s="19" t="s">
        <v>20</v>
      </c>
      <c r="D180" s="19"/>
      <c r="E180" s="19" t="s">
        <v>25</v>
      </c>
      <c r="F180" s="20"/>
      <c r="G180" s="21" t="s">
        <v>22</v>
      </c>
      <c r="H180" s="116"/>
      <c r="I180" s="67"/>
      <c r="J180" s="67"/>
      <c r="K180" s="68" t="n">
        <f aca="false">L180+M180</f>
        <v>0</v>
      </c>
      <c r="L180" s="68"/>
      <c r="M180" s="68"/>
      <c r="N180" s="67"/>
      <c r="O180" s="68" t="n">
        <f aca="false">P180+Q180</f>
        <v>0</v>
      </c>
      <c r="P180" s="68"/>
      <c r="Q180" s="69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20.25" hidden="false" customHeight="true" outlineLevel="0" collapsed="false">
      <c r="A181" s="17"/>
      <c r="B181" s="18"/>
      <c r="C181" s="18"/>
      <c r="D181" s="18"/>
      <c r="E181" s="18"/>
      <c r="F181" s="26"/>
      <c r="G181" s="27" t="s">
        <v>26</v>
      </c>
      <c r="H181" s="118" t="n">
        <v>3</v>
      </c>
      <c r="I181" s="58"/>
      <c r="J181" s="58"/>
      <c r="K181" s="59" t="n">
        <f aca="false">L181+M181</f>
        <v>0</v>
      </c>
      <c r="L181" s="59"/>
      <c r="M181" s="59"/>
      <c r="N181" s="58"/>
      <c r="O181" s="59" t="n">
        <f aca="false">P181+Q181</f>
        <v>0</v>
      </c>
      <c r="P181" s="59"/>
      <c r="Q181" s="60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5.75" hidden="false" customHeight="true" outlineLevel="0" collapsed="false">
      <c r="A182" s="54"/>
      <c r="B182" s="55" t="s">
        <v>138</v>
      </c>
      <c r="C182" s="56" t="s">
        <v>33</v>
      </c>
      <c r="D182" s="56" t="s">
        <v>139</v>
      </c>
      <c r="E182" s="56" t="s">
        <v>25</v>
      </c>
      <c r="F182" s="36"/>
      <c r="G182" s="21" t="s">
        <v>22</v>
      </c>
      <c r="H182" s="116"/>
      <c r="I182" s="61"/>
      <c r="J182" s="61"/>
      <c r="K182" s="62" t="n">
        <f aca="false">L182+M182</f>
        <v>0</v>
      </c>
      <c r="L182" s="62"/>
      <c r="M182" s="62"/>
      <c r="N182" s="61"/>
      <c r="O182" s="62" t="n">
        <f aca="false">P182+Q182</f>
        <v>0</v>
      </c>
      <c r="P182" s="62"/>
      <c r="Q182" s="63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5.75" hidden="false" customHeight="true" outlineLevel="0" collapsed="false">
      <c r="A183" s="54"/>
      <c r="B183" s="55"/>
      <c r="C183" s="55"/>
      <c r="D183" s="55"/>
      <c r="E183" s="55"/>
      <c r="F183" s="26" t="s">
        <v>214</v>
      </c>
      <c r="G183" s="27" t="s">
        <v>26</v>
      </c>
      <c r="H183" s="117" t="n">
        <v>4</v>
      </c>
      <c r="I183" s="58" t="n">
        <v>1</v>
      </c>
      <c r="J183" s="58" t="n">
        <v>1</v>
      </c>
      <c r="K183" s="59" t="n">
        <f aca="false">L183+M183</f>
        <v>0</v>
      </c>
      <c r="L183" s="59"/>
      <c r="M183" s="59"/>
      <c r="N183" s="58"/>
      <c r="O183" s="59" t="n">
        <f aca="false">P183+Q183</f>
        <v>0</v>
      </c>
      <c r="P183" s="59"/>
      <c r="Q183" s="60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5" hidden="false" customHeight="true" outlineLevel="0" collapsed="false">
      <c r="A184" s="33"/>
      <c r="B184" s="34" t="s">
        <v>140</v>
      </c>
      <c r="C184" s="35" t="s">
        <v>20</v>
      </c>
      <c r="D184" s="35"/>
      <c r="E184" s="35" t="s">
        <v>141</v>
      </c>
      <c r="F184" s="36"/>
      <c r="G184" s="21" t="s">
        <v>22</v>
      </c>
      <c r="H184" s="114" t="n">
        <v>1</v>
      </c>
      <c r="I184" s="61" t="n">
        <v>1</v>
      </c>
      <c r="J184" s="61" t="n">
        <v>1</v>
      </c>
      <c r="K184" s="62" t="n">
        <f aca="false">L184+M184</f>
        <v>0</v>
      </c>
      <c r="L184" s="62"/>
      <c r="M184" s="62"/>
      <c r="N184" s="61" t="n">
        <v>2</v>
      </c>
      <c r="O184" s="62" t="n">
        <f aca="false">P184+Q184</f>
        <v>0</v>
      </c>
      <c r="P184" s="62"/>
      <c r="Q184" s="63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.75" hidden="false" customHeight="true" outlineLevel="0" collapsed="false">
      <c r="A185" s="33"/>
      <c r="B185" s="34"/>
      <c r="C185" s="34"/>
      <c r="D185" s="34"/>
      <c r="E185" s="34"/>
      <c r="F185" s="42" t="s">
        <v>215</v>
      </c>
      <c r="G185" s="43" t="s">
        <v>26</v>
      </c>
      <c r="H185" s="115"/>
      <c r="I185" s="64"/>
      <c r="J185" s="64"/>
      <c r="K185" s="65" t="n">
        <f aca="false">L185+M185</f>
        <v>0</v>
      </c>
      <c r="L185" s="65"/>
      <c r="M185" s="65"/>
      <c r="N185" s="64"/>
      <c r="O185" s="65" t="n">
        <f aca="false">P185+Q185</f>
        <v>0</v>
      </c>
      <c r="P185" s="65"/>
      <c r="Q185" s="66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.75" hidden="false" customHeight="true" outlineLevel="0" collapsed="false">
      <c r="A186" s="17"/>
      <c r="B186" s="18" t="s">
        <v>142</v>
      </c>
      <c r="C186" s="19" t="s">
        <v>20</v>
      </c>
      <c r="D186" s="19"/>
      <c r="E186" s="19" t="s">
        <v>25</v>
      </c>
      <c r="F186" s="20"/>
      <c r="G186" s="21" t="s">
        <v>22</v>
      </c>
      <c r="H186" s="114" t="n">
        <v>3</v>
      </c>
      <c r="I186" s="67" t="n">
        <v>3</v>
      </c>
      <c r="J186" s="67" t="n">
        <v>3</v>
      </c>
      <c r="K186" s="68" t="n">
        <f aca="false">L186+M186</f>
        <v>0</v>
      </c>
      <c r="L186" s="68"/>
      <c r="M186" s="68"/>
      <c r="N186" s="67" t="n">
        <v>1</v>
      </c>
      <c r="O186" s="68" t="n">
        <f aca="false">P186+Q186</f>
        <v>0</v>
      </c>
      <c r="P186" s="68"/>
      <c r="Q186" s="69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.75" hidden="false" customHeight="true" outlineLevel="0" collapsed="false">
      <c r="A187" s="17"/>
      <c r="B187" s="18"/>
      <c r="C187" s="18"/>
      <c r="D187" s="18"/>
      <c r="E187" s="18"/>
      <c r="F187" s="26" t="s">
        <v>216</v>
      </c>
      <c r="G187" s="27" t="s">
        <v>26</v>
      </c>
      <c r="H187" s="117" t="n">
        <v>4</v>
      </c>
      <c r="I187" s="58" t="n">
        <v>2</v>
      </c>
      <c r="J187" s="58" t="n">
        <v>2</v>
      </c>
      <c r="K187" s="59" t="n">
        <v>528.6</v>
      </c>
      <c r="L187" s="59" t="n">
        <v>528.6</v>
      </c>
      <c r="M187" s="59"/>
      <c r="N187" s="58" t="n">
        <v>5</v>
      </c>
      <c r="O187" s="59" t="n">
        <f aca="false">P187+Q187</f>
        <v>0</v>
      </c>
      <c r="P187" s="59"/>
      <c r="Q187" s="60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.75" hidden="false" customHeight="true" outlineLevel="0" collapsed="false">
      <c r="A188" s="33"/>
      <c r="B188" s="34" t="s">
        <v>143</v>
      </c>
      <c r="C188" s="35" t="s">
        <v>20</v>
      </c>
      <c r="D188" s="35"/>
      <c r="E188" s="35" t="s">
        <v>25</v>
      </c>
      <c r="F188" s="36"/>
      <c r="G188" s="21" t="s">
        <v>22</v>
      </c>
      <c r="H188" s="116"/>
      <c r="I188" s="61"/>
      <c r="J188" s="61"/>
      <c r="K188" s="62" t="n">
        <f aca="false">L188+M188</f>
        <v>0</v>
      </c>
      <c r="L188" s="62"/>
      <c r="M188" s="62"/>
      <c r="N188" s="61"/>
      <c r="O188" s="62" t="n">
        <f aca="false">P188+Q188</f>
        <v>0</v>
      </c>
      <c r="P188" s="62"/>
      <c r="Q188" s="63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 t="s">
        <v>217</v>
      </c>
      <c r="G189" s="43" t="s">
        <v>26</v>
      </c>
      <c r="H189" s="117" t="n">
        <v>3</v>
      </c>
      <c r="I189" s="64"/>
      <c r="J189" s="64"/>
      <c r="K189" s="65" t="n">
        <f aca="false">L189+M189</f>
        <v>0</v>
      </c>
      <c r="L189" s="65"/>
      <c r="M189" s="65"/>
      <c r="N189" s="64" t="n">
        <v>3</v>
      </c>
      <c r="O189" s="65" t="n">
        <f aca="false">P189+Q189</f>
        <v>0</v>
      </c>
      <c r="P189" s="65"/>
      <c r="Q189" s="66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.75" hidden="false" customHeight="true" outlineLevel="0" collapsed="false">
      <c r="A190" s="17"/>
      <c r="B190" s="18" t="s">
        <v>144</v>
      </c>
      <c r="C190" s="19" t="s">
        <v>20</v>
      </c>
      <c r="D190" s="19"/>
      <c r="E190" s="19" t="s">
        <v>81</v>
      </c>
      <c r="F190" s="20"/>
      <c r="G190" s="21" t="s">
        <v>22</v>
      </c>
      <c r="H190" s="114" t="n">
        <v>4</v>
      </c>
      <c r="I190" s="67"/>
      <c r="J190" s="67"/>
      <c r="K190" s="68" t="n">
        <f aca="false">L190+M190</f>
        <v>0</v>
      </c>
      <c r="L190" s="68"/>
      <c r="M190" s="68"/>
      <c r="N190" s="67" t="n">
        <v>2</v>
      </c>
      <c r="O190" s="68" t="n">
        <f aca="false">P190+Q190</f>
        <v>0</v>
      </c>
      <c r="P190" s="68"/>
      <c r="Q190" s="69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15.75" hidden="false" customHeight="true" outlineLevel="0" collapsed="false">
      <c r="A191" s="17"/>
      <c r="B191" s="18"/>
      <c r="C191" s="18"/>
      <c r="D191" s="18"/>
      <c r="E191" s="18"/>
      <c r="F191" s="26" t="s">
        <v>218</v>
      </c>
      <c r="G191" s="27" t="s">
        <v>26</v>
      </c>
      <c r="H191" s="117" t="n">
        <v>6</v>
      </c>
      <c r="I191" s="58"/>
      <c r="J191" s="58"/>
      <c r="K191" s="59" t="n">
        <f aca="false">L191+M191</f>
        <v>0</v>
      </c>
      <c r="L191" s="59"/>
      <c r="M191" s="59"/>
      <c r="N191" s="58" t="n">
        <v>1</v>
      </c>
      <c r="O191" s="59" t="n">
        <f aca="false">P191+Q191</f>
        <v>0</v>
      </c>
      <c r="P191" s="59"/>
      <c r="Q191" s="60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" hidden="false" customHeight="true" outlineLevel="0" collapsed="false">
      <c r="A192" s="33"/>
      <c r="B192" s="34" t="s">
        <v>145</v>
      </c>
      <c r="C192" s="35" t="s">
        <v>20</v>
      </c>
      <c r="D192" s="35"/>
      <c r="E192" s="35" t="s">
        <v>98</v>
      </c>
      <c r="F192" s="36"/>
      <c r="G192" s="21" t="s">
        <v>22</v>
      </c>
      <c r="H192" s="116"/>
      <c r="I192" s="61"/>
      <c r="J192" s="61"/>
      <c r="K192" s="62" t="n">
        <f aca="false">L192+M192</f>
        <v>0</v>
      </c>
      <c r="L192" s="62"/>
      <c r="M192" s="62"/>
      <c r="N192" s="61"/>
      <c r="O192" s="62" t="n">
        <f aca="false">P192+Q192</f>
        <v>0</v>
      </c>
      <c r="P192" s="62"/>
      <c r="Q192" s="63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.75" hidden="false" customHeight="true" outlineLevel="0" collapsed="false">
      <c r="A193" s="33"/>
      <c r="B193" s="34"/>
      <c r="C193" s="34"/>
      <c r="D193" s="34"/>
      <c r="E193" s="34"/>
      <c r="F193" s="71"/>
      <c r="G193" s="43" t="s">
        <v>23</v>
      </c>
      <c r="H193" s="115"/>
      <c r="I193" s="64"/>
      <c r="J193" s="64"/>
      <c r="K193" s="65" t="n">
        <f aca="false">L193+M193</f>
        <v>0</v>
      </c>
      <c r="L193" s="65"/>
      <c r="M193" s="65"/>
      <c r="N193" s="64"/>
      <c r="O193" s="65" t="n">
        <f aca="false">P193+Q193</f>
        <v>0</v>
      </c>
      <c r="P193" s="65"/>
      <c r="Q193" s="66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true" outlineLevel="0" collapsed="false">
      <c r="A194" s="17"/>
      <c r="B194" s="18" t="s">
        <v>146</v>
      </c>
      <c r="C194" s="19" t="s">
        <v>20</v>
      </c>
      <c r="D194" s="19"/>
      <c r="E194" s="19" t="s">
        <v>25</v>
      </c>
      <c r="F194" s="22"/>
      <c r="G194" s="21" t="s">
        <v>22</v>
      </c>
      <c r="H194" s="114" t="n">
        <v>4</v>
      </c>
      <c r="I194" s="67" t="n">
        <v>1</v>
      </c>
      <c r="J194" s="67" t="n">
        <v>1</v>
      </c>
      <c r="K194" s="68" t="n">
        <f aca="false">L194+M194</f>
        <v>352.4</v>
      </c>
      <c r="L194" s="68" t="n">
        <v>352.4</v>
      </c>
      <c r="M194" s="68"/>
      <c r="N194" s="67"/>
      <c r="O194" s="68" t="n">
        <f aca="false">P194+Q194</f>
        <v>1546.68</v>
      </c>
      <c r="P194" s="68" t="n">
        <v>1546.68</v>
      </c>
      <c r="Q194" s="69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.75" hidden="false" customHeight="true" outlineLevel="0" collapsed="false">
      <c r="A195" s="17"/>
      <c r="B195" s="18"/>
      <c r="C195" s="18"/>
      <c r="D195" s="18"/>
      <c r="E195" s="18"/>
      <c r="F195" s="26" t="s">
        <v>219</v>
      </c>
      <c r="G195" s="27" t="s">
        <v>26</v>
      </c>
      <c r="H195" s="115"/>
      <c r="I195" s="58"/>
      <c r="J195" s="58"/>
      <c r="K195" s="59" t="n">
        <v>1585.8</v>
      </c>
      <c r="L195" s="59" t="n">
        <v>1585.8</v>
      </c>
      <c r="M195" s="59"/>
      <c r="N195" s="58" t="n">
        <v>1</v>
      </c>
      <c r="O195" s="59" t="n">
        <f aca="false">P195+Q195</f>
        <v>0</v>
      </c>
      <c r="P195" s="59"/>
      <c r="Q195" s="60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.75" hidden="false" customHeight="true" outlineLevel="0" collapsed="false">
      <c r="A196" s="54"/>
      <c r="B196" s="55" t="s">
        <v>147</v>
      </c>
      <c r="C196" s="56" t="s">
        <v>20</v>
      </c>
      <c r="D196" s="56"/>
      <c r="E196" s="56" t="s">
        <v>25</v>
      </c>
      <c r="F196" s="97"/>
      <c r="G196" s="21" t="s">
        <v>22</v>
      </c>
      <c r="H196" s="114" t="n">
        <v>3</v>
      </c>
      <c r="I196" s="61" t="n">
        <v>2</v>
      </c>
      <c r="J196" s="61" t="n">
        <v>2</v>
      </c>
      <c r="K196" s="62" t="n">
        <f aca="false">L196+M196</f>
        <v>0</v>
      </c>
      <c r="L196" s="62"/>
      <c r="M196" s="62"/>
      <c r="N196" s="61" t="n">
        <v>2</v>
      </c>
      <c r="O196" s="62" t="n">
        <f aca="false">P196+Q196</f>
        <v>0</v>
      </c>
      <c r="P196" s="62"/>
      <c r="Q196" s="63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.75" hidden="false" customHeight="true" outlineLevel="0" collapsed="false">
      <c r="A197" s="54"/>
      <c r="B197" s="55"/>
      <c r="C197" s="55"/>
      <c r="D197" s="55"/>
      <c r="E197" s="55"/>
      <c r="F197" s="26" t="s">
        <v>220</v>
      </c>
      <c r="G197" s="27" t="s">
        <v>26</v>
      </c>
      <c r="H197" s="117" t="n">
        <v>5</v>
      </c>
      <c r="I197" s="58"/>
      <c r="J197" s="58"/>
      <c r="K197" s="59" t="n">
        <v>528.6</v>
      </c>
      <c r="L197" s="59" t="n">
        <v>528.6</v>
      </c>
      <c r="M197" s="59"/>
      <c r="N197" s="58" t="n">
        <v>4</v>
      </c>
      <c r="O197" s="59" t="n">
        <f aca="false">P197+Q197</f>
        <v>0</v>
      </c>
      <c r="P197" s="59"/>
      <c r="Q197" s="98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" hidden="false" customHeight="true" outlineLevel="0" collapsed="false">
      <c r="A198" s="17"/>
      <c r="B198" s="18" t="s">
        <v>148</v>
      </c>
      <c r="C198" s="19" t="s">
        <v>20</v>
      </c>
      <c r="D198" s="19"/>
      <c r="E198" s="19" t="s">
        <v>21</v>
      </c>
      <c r="F198" s="22"/>
      <c r="G198" s="21" t="s">
        <v>22</v>
      </c>
      <c r="H198" s="114" t="n">
        <v>1</v>
      </c>
      <c r="I198" s="67"/>
      <c r="J198" s="67"/>
      <c r="K198" s="68" t="n">
        <f aca="false">L198+M198</f>
        <v>0</v>
      </c>
      <c r="L198" s="68"/>
      <c r="M198" s="68"/>
      <c r="N198" s="67"/>
      <c r="O198" s="68" t="n">
        <f aca="false">P198+Q198</f>
        <v>0</v>
      </c>
      <c r="P198" s="68"/>
      <c r="Q198" s="69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26"/>
      <c r="G199" s="27" t="s">
        <v>23</v>
      </c>
      <c r="H199" s="117" t="n">
        <v>2</v>
      </c>
      <c r="I199" s="58"/>
      <c r="J199" s="58"/>
      <c r="K199" s="59" t="n">
        <f aca="false">L199+M199</f>
        <v>0</v>
      </c>
      <c r="L199" s="59"/>
      <c r="M199" s="59"/>
      <c r="N199" s="58" t="n">
        <v>1</v>
      </c>
      <c r="O199" s="59" t="n">
        <v>572.65</v>
      </c>
      <c r="P199" s="59"/>
      <c r="Q199" s="60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.75" hidden="false" customHeight="true" outlineLevel="0" collapsed="false">
      <c r="A200" s="99"/>
      <c r="B200" s="100" t="s">
        <v>149</v>
      </c>
      <c r="C200" s="100"/>
      <c r="D200" s="100"/>
      <c r="E200" s="100"/>
      <c r="F200" s="100"/>
      <c r="G200" s="100"/>
      <c r="H200" s="100" t="n">
        <f aca="false">SUM(H9:H199)</f>
        <v>526</v>
      </c>
      <c r="I200" s="100" t="n">
        <f aca="false">SUM(I9:I199)</f>
        <v>179</v>
      </c>
      <c r="J200" s="100" t="n">
        <f aca="false">SUM(J9:J199)</f>
        <v>188</v>
      </c>
      <c r="K200" s="101" t="n">
        <f aca="false">SUM(K9:K199)</f>
        <v>69627.08</v>
      </c>
      <c r="L200" s="101" t="n">
        <f aca="false">SUM(L9:L199)</f>
        <v>64604.01</v>
      </c>
      <c r="M200" s="102" t="n">
        <f aca="false">SUM(M9:M199)</f>
        <v>1046.67</v>
      </c>
      <c r="N200" s="100" t="n">
        <f aca="false">SUM(N9:N199)</f>
        <v>316</v>
      </c>
      <c r="O200" s="102" t="n">
        <f aca="false">SUM(O9:O199)</f>
        <v>206912.14</v>
      </c>
      <c r="P200" s="102" t="n">
        <f aca="false">SUM(P9:P199)</f>
        <v>200981.59</v>
      </c>
      <c r="Q200" s="102" t="n">
        <f aca="false">SUM(Q9:Q199)</f>
        <v>0</v>
      </c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" hidden="false" customHeight="false" outlineLevel="0" collapsed="false">
      <c r="A201" s="2"/>
      <c r="B201" s="2"/>
      <c r="C201" s="2"/>
      <c r="D201" s="2"/>
      <c r="E201" s="2"/>
      <c r="F201" s="2"/>
      <c r="G201" s="2"/>
      <c r="I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fals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" hidden="false" customHeight="fals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true" outlineLevel="0" collapsed="false">
      <c r="A204" s="2"/>
      <c r="B204" s="2"/>
      <c r="C204" s="2"/>
      <c r="D204" s="2"/>
      <c r="E204" s="2"/>
      <c r="F204" s="103"/>
      <c r="G204" s="104" t="s">
        <v>5</v>
      </c>
      <c r="H204" s="104"/>
      <c r="I204" s="104"/>
      <c r="J204" s="104"/>
      <c r="K204" s="104"/>
      <c r="L204" s="104"/>
      <c r="M204" s="104" t="s">
        <v>6</v>
      </c>
      <c r="N204" s="104"/>
      <c r="O204" s="104"/>
      <c r="P204" s="104"/>
      <c r="Q204" s="105" t="s">
        <v>150</v>
      </c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" hidden="false" customHeight="false" outlineLevel="0" collapsed="false">
      <c r="A205" s="2"/>
      <c r="B205" s="2"/>
      <c r="C205" s="2"/>
      <c r="D205" s="2"/>
      <c r="E205" s="2"/>
      <c r="F205" s="103"/>
      <c r="G205" s="106" t="s">
        <v>13</v>
      </c>
      <c r="H205" s="106" t="s">
        <v>14</v>
      </c>
      <c r="I205" s="106" t="s">
        <v>15</v>
      </c>
      <c r="J205" s="106" t="s">
        <v>16</v>
      </c>
      <c r="K205" s="106" t="s">
        <v>17</v>
      </c>
      <c r="L205" s="106" t="s">
        <v>18</v>
      </c>
      <c r="M205" s="106" t="s">
        <v>15</v>
      </c>
      <c r="N205" s="106" t="s">
        <v>16</v>
      </c>
      <c r="O205" s="106" t="s">
        <v>17</v>
      </c>
      <c r="P205" s="106" t="s">
        <v>18</v>
      </c>
      <c r="Q205" s="105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" hidden="false" customHeight="false" outlineLevel="0" collapsed="false">
      <c r="A206" s="2"/>
      <c r="B206" s="2"/>
      <c r="C206" s="2"/>
      <c r="D206" s="2"/>
      <c r="E206" s="2"/>
      <c r="F206" s="107" t="s">
        <v>22</v>
      </c>
      <c r="G206" s="108" t="n">
        <f aca="false">SUMIF($G$9:$G$199,$F$206,H9:H199)</f>
        <v>352</v>
      </c>
      <c r="H206" s="108" t="n">
        <f aca="false">SUMIF($G$9:$G$199,$F$206,I9:I199)</f>
        <v>140</v>
      </c>
      <c r="I206" s="108" t="n">
        <f aca="false">SUMIF($G$9:$G$199,$F$206,J9:J199)</f>
        <v>149</v>
      </c>
      <c r="J206" s="109" t="n">
        <f aca="false">SUMIF($G$9:$G$199,$F$206,K9:K199)</f>
        <v>50065.08</v>
      </c>
      <c r="K206" s="109" t="n">
        <f aca="false">SUMIF($G$9:$G$199,$F$206,L9:L199)</f>
        <v>49018.41</v>
      </c>
      <c r="L206" s="109" t="n">
        <f aca="false">SUMIF($G$9:$G$199,$F$206,M9:M199)</f>
        <v>1046.67</v>
      </c>
      <c r="M206" s="108" t="n">
        <f aca="false">SUMIF($G$9:$G$199,$F$206,N9:N199)</f>
        <v>222</v>
      </c>
      <c r="N206" s="109" t="n">
        <f aca="false">SUMIF($G$9:$G$199,$F$206,O9:O199)</f>
        <v>200981.59</v>
      </c>
      <c r="O206" s="109" t="n">
        <f aca="false">SUMIF($G$9:$G$199,$F$206,P9:P199)</f>
        <v>200981.59</v>
      </c>
      <c r="P206" s="109" t="n">
        <f aca="false">SUMIF($G$9:$G$199,$F$206,Q9:Q199)</f>
        <v>0</v>
      </c>
      <c r="Q206" s="110" t="n">
        <f aca="false">O206+K206</f>
        <v>250000</v>
      </c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" hidden="false" customHeight="false" outlineLevel="0" collapsed="false">
      <c r="A207" s="2"/>
      <c r="B207" s="2"/>
      <c r="C207" s="2"/>
      <c r="D207" s="2"/>
      <c r="E207" s="2"/>
      <c r="F207" s="107" t="s">
        <v>26</v>
      </c>
      <c r="G207" s="108" t="n">
        <f aca="false">SUMIF($G$9:$G$199,$F$207,H9:H199)</f>
        <v>108</v>
      </c>
      <c r="H207" s="108" t="n">
        <f aca="false">SUMIF($G$9:$G$199,$F$207,I9:I199)</f>
        <v>6</v>
      </c>
      <c r="I207" s="108" t="n">
        <f aca="false">SUMIF($G$9:$G$199,$F$207,J9:J199)</f>
        <v>6</v>
      </c>
      <c r="J207" s="109" t="n">
        <f aca="false">SUMIF($G$9:$G$199,$F$207,K9:K199)</f>
        <v>15585.6</v>
      </c>
      <c r="K207" s="109" t="n">
        <f aca="false">SUMIF($G$9:$G$199,$F$207,L9:L199)</f>
        <v>15585.6</v>
      </c>
      <c r="L207" s="109" t="n">
        <f aca="false">SUMIF($G$9:$G$199,$F$207,M9:M199)</f>
        <v>0</v>
      </c>
      <c r="M207" s="108" t="n">
        <f aca="false">SUMIF($G$9:$G$199,$F$207,N9:N199)</f>
        <v>86</v>
      </c>
      <c r="N207" s="109" t="n">
        <f aca="false">SUMIF($G$9:$G$199,$F$207,O9:O199)</f>
        <v>0</v>
      </c>
      <c r="O207" s="109" t="n">
        <f aca="false">SUMIF($G$9:$G$199,$F$207,P9:P199)</f>
        <v>0</v>
      </c>
      <c r="P207" s="109" t="n">
        <f aca="false">SUMIF($G$9:$G$199,$F$207,Q9:Q199)</f>
        <v>0</v>
      </c>
      <c r="Q207" s="110" t="n">
        <f aca="false">O207+K207</f>
        <v>15585.6</v>
      </c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false" outlineLevel="0" collapsed="false">
      <c r="A208" s="2"/>
      <c r="B208" s="2"/>
      <c r="C208" s="2"/>
      <c r="D208" s="2"/>
      <c r="E208" s="2"/>
      <c r="F208" s="107" t="s">
        <v>23</v>
      </c>
      <c r="G208" s="108" t="n">
        <f aca="false">SUMIF($G$9:$G$199,$F$208,H9:H199)</f>
        <v>66</v>
      </c>
      <c r="H208" s="108" t="n">
        <f aca="false">SUMIF($G$9:$G$199,$F$208,I9:I199)</f>
        <v>33</v>
      </c>
      <c r="I208" s="108" t="n">
        <f aca="false">SUMIF($G$9:$G$199,$F$208,J9:J199)</f>
        <v>33</v>
      </c>
      <c r="J208" s="109" t="n">
        <f aca="false">SUMIF($G$9:$G$199,$F$208,K9:K199)</f>
        <v>3976.4</v>
      </c>
      <c r="K208" s="109" t="n">
        <f aca="false">SUMIF($G$9:$G$199,$F$208,L9:L199)</f>
        <v>0</v>
      </c>
      <c r="L208" s="109" t="n">
        <f aca="false">SUMIF($G$9:$G$199,$F$208,M9:M199)</f>
        <v>0</v>
      </c>
      <c r="M208" s="108" t="n">
        <f aca="false">SUMIF($G$9:$G$199,$F$208,N9:N199)</f>
        <v>8</v>
      </c>
      <c r="N208" s="109" t="n">
        <f aca="false">SUMIF($G$9:$G$199,$F$208,O9:O199)</f>
        <v>5930.55</v>
      </c>
      <c r="O208" s="109" t="n">
        <f aca="false">SUMIF($G$9:$G$199,$F$208,P9:P199)</f>
        <v>0</v>
      </c>
      <c r="P208" s="109" t="n">
        <f aca="false">SUMIF($G$9:$G$199,$F$208,Q9:Q199)</f>
        <v>0</v>
      </c>
      <c r="Q208" s="110" t="n">
        <f aca="false">O208+K208</f>
        <v>0</v>
      </c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" hidden="false" customHeight="fals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111" t="n">
        <f aca="false">Q208+Q207+Q206</f>
        <v>265585.6</v>
      </c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" hidden="false" customHeight="fals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customFormat="false" ht="1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customFormat="false" ht="1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customFormat="false" ht="1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customFormat="false" ht="1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customFormat="false" ht="1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customFormat="false" ht="1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</sheetData>
  <mergeCells count="470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3"/>
    <mergeCell ref="B81:B83"/>
    <mergeCell ref="C81:C83"/>
    <mergeCell ref="D81:D83"/>
    <mergeCell ref="E81:E83"/>
    <mergeCell ref="A84:A85"/>
    <mergeCell ref="B84:B85"/>
    <mergeCell ref="C84:C85"/>
    <mergeCell ref="D84:D85"/>
    <mergeCell ref="E84:E85"/>
    <mergeCell ref="A86:A87"/>
    <mergeCell ref="B86:B87"/>
    <mergeCell ref="C86:C87"/>
    <mergeCell ref="D86:D87"/>
    <mergeCell ref="E86:E87"/>
    <mergeCell ref="A88:A89"/>
    <mergeCell ref="B88:B89"/>
    <mergeCell ref="C88:C89"/>
    <mergeCell ref="D88:D89"/>
    <mergeCell ref="E88:E89"/>
    <mergeCell ref="A90:A91"/>
    <mergeCell ref="B90:B91"/>
    <mergeCell ref="C90:C91"/>
    <mergeCell ref="D90:D91"/>
    <mergeCell ref="E90:E91"/>
    <mergeCell ref="A92:A93"/>
    <mergeCell ref="B92:B93"/>
    <mergeCell ref="C92:C93"/>
    <mergeCell ref="D92:D93"/>
    <mergeCell ref="E92:E93"/>
    <mergeCell ref="A94:A95"/>
    <mergeCell ref="B94:B95"/>
    <mergeCell ref="C94:C95"/>
    <mergeCell ref="D94:D95"/>
    <mergeCell ref="E94:E95"/>
    <mergeCell ref="A96:A97"/>
    <mergeCell ref="B96:B97"/>
    <mergeCell ref="C96:C97"/>
    <mergeCell ref="D96:D97"/>
    <mergeCell ref="E96:E97"/>
    <mergeCell ref="A98:A99"/>
    <mergeCell ref="B98:B99"/>
    <mergeCell ref="C98:C99"/>
    <mergeCell ref="D98:D99"/>
    <mergeCell ref="E98:E99"/>
    <mergeCell ref="A100:A102"/>
    <mergeCell ref="B100:B102"/>
    <mergeCell ref="C100:C102"/>
    <mergeCell ref="D100:D102"/>
    <mergeCell ref="E100:E102"/>
    <mergeCell ref="A103:A104"/>
    <mergeCell ref="B103:B104"/>
    <mergeCell ref="C103:C104"/>
    <mergeCell ref="D103:D104"/>
    <mergeCell ref="E103:E104"/>
    <mergeCell ref="A105:A106"/>
    <mergeCell ref="B105:B106"/>
    <mergeCell ref="C105:C106"/>
    <mergeCell ref="D105:D106"/>
    <mergeCell ref="E105:E106"/>
    <mergeCell ref="A107:A108"/>
    <mergeCell ref="B107:B108"/>
    <mergeCell ref="C107:C108"/>
    <mergeCell ref="D107:D108"/>
    <mergeCell ref="E107:E108"/>
    <mergeCell ref="A109:A110"/>
    <mergeCell ref="B109:B110"/>
    <mergeCell ref="C109:C110"/>
    <mergeCell ref="D109:D110"/>
    <mergeCell ref="E109:E110"/>
    <mergeCell ref="A111:A113"/>
    <mergeCell ref="B111:B113"/>
    <mergeCell ref="C111:C113"/>
    <mergeCell ref="D111:D113"/>
    <mergeCell ref="E111:E113"/>
    <mergeCell ref="A114:A115"/>
    <mergeCell ref="B114:B115"/>
    <mergeCell ref="C114:C115"/>
    <mergeCell ref="D114:D115"/>
    <mergeCell ref="E114:E115"/>
    <mergeCell ref="A116:A118"/>
    <mergeCell ref="B116:B118"/>
    <mergeCell ref="C116:C118"/>
    <mergeCell ref="D116:D118"/>
    <mergeCell ref="E116:E118"/>
    <mergeCell ref="A119:A120"/>
    <mergeCell ref="B119:B120"/>
    <mergeCell ref="C119:C120"/>
    <mergeCell ref="D119:D120"/>
    <mergeCell ref="E119:E120"/>
    <mergeCell ref="A121:A122"/>
    <mergeCell ref="B121:B122"/>
    <mergeCell ref="C121:C122"/>
    <mergeCell ref="D121:D122"/>
    <mergeCell ref="E121:E122"/>
    <mergeCell ref="A123:A124"/>
    <mergeCell ref="B123:B124"/>
    <mergeCell ref="C123:C124"/>
    <mergeCell ref="D123:D124"/>
    <mergeCell ref="E123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A143:A145"/>
    <mergeCell ref="B143:B145"/>
    <mergeCell ref="C143:C145"/>
    <mergeCell ref="D143:D145"/>
    <mergeCell ref="E143:E145"/>
    <mergeCell ref="A146:A147"/>
    <mergeCell ref="B146:B147"/>
    <mergeCell ref="C146:C147"/>
    <mergeCell ref="D146:D147"/>
    <mergeCell ref="E146:E147"/>
    <mergeCell ref="A148:A149"/>
    <mergeCell ref="B148:B149"/>
    <mergeCell ref="C148:C149"/>
    <mergeCell ref="D148:D149"/>
    <mergeCell ref="E148:E149"/>
    <mergeCell ref="B150:B151"/>
    <mergeCell ref="D150:D151"/>
    <mergeCell ref="A152:A153"/>
    <mergeCell ref="B152:B153"/>
    <mergeCell ref="C152:C153"/>
    <mergeCell ref="D152:D153"/>
    <mergeCell ref="E152:E153"/>
    <mergeCell ref="A154:A155"/>
    <mergeCell ref="B154:B155"/>
    <mergeCell ref="C154:C155"/>
    <mergeCell ref="D154:D155"/>
    <mergeCell ref="E154:E155"/>
    <mergeCell ref="A156:A157"/>
    <mergeCell ref="B156:B157"/>
    <mergeCell ref="C156:C157"/>
    <mergeCell ref="D156:D157"/>
    <mergeCell ref="E156:E157"/>
    <mergeCell ref="A158:A159"/>
    <mergeCell ref="B158:B159"/>
    <mergeCell ref="C158:C159"/>
    <mergeCell ref="D158:D159"/>
    <mergeCell ref="E158:E159"/>
    <mergeCell ref="A160:A161"/>
    <mergeCell ref="B160:B161"/>
    <mergeCell ref="C160:C161"/>
    <mergeCell ref="D160:D161"/>
    <mergeCell ref="A162:A163"/>
    <mergeCell ref="B162:B163"/>
    <mergeCell ref="C162:C163"/>
    <mergeCell ref="D162:D163"/>
    <mergeCell ref="E162:E163"/>
    <mergeCell ref="A164:A165"/>
    <mergeCell ref="B164:B165"/>
    <mergeCell ref="C164:C165"/>
    <mergeCell ref="D164:D165"/>
    <mergeCell ref="E164:E165"/>
    <mergeCell ref="A166:A167"/>
    <mergeCell ref="B166:B167"/>
    <mergeCell ref="C166:C167"/>
    <mergeCell ref="D166:D167"/>
    <mergeCell ref="E166:E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E170:E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F204:F205"/>
    <mergeCell ref="G204:L204"/>
    <mergeCell ref="M204:P204"/>
    <mergeCell ref="Q204:Q205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A253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selection pane="topLeft" activeCell="A1" activeCellId="0" sqref="A1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3.14"/>
    <col collapsed="false" customWidth="true" hidden="false" outlineLevel="0" max="11" min="11" style="0" width="14.57"/>
    <col collapsed="false" customWidth="true" hidden="false" outlineLevel="0" max="12" min="12" style="0" width="13.43"/>
    <col collapsed="false" customWidth="true" hidden="false" outlineLevel="0" max="13" min="13" style="0" width="13.57"/>
    <col collapsed="false" customWidth="true" hidden="false" outlineLevel="0" max="14" min="14" style="0" width="13.29"/>
    <col collapsed="false" customWidth="true" hidden="false" outlineLevel="0" max="15" min="15" style="0" width="14.43"/>
    <col collapsed="false" customWidth="true" hidden="false" outlineLevel="0" max="17" min="16" style="0" width="13.43"/>
    <col collapsed="false" customWidth="true" hidden="false" outlineLevel="0" max="27" min="18" style="0" width="9.13"/>
    <col collapsed="false" customWidth="true" hidden="false" outlineLevel="0" max="1025" min="28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2"/>
      <c r="T1" s="2"/>
      <c r="U1" s="2"/>
      <c r="V1" s="2"/>
      <c r="W1" s="2"/>
      <c r="X1" s="2"/>
      <c r="Y1" s="2"/>
      <c r="Z1" s="2"/>
      <c r="AA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4"/>
      <c r="S2" s="2"/>
      <c r="T2" s="2"/>
      <c r="U2" s="2"/>
      <c r="V2" s="2"/>
      <c r="W2" s="2"/>
      <c r="X2" s="2"/>
      <c r="Y2" s="2"/>
      <c r="Z2" s="2"/>
      <c r="AA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6"/>
      <c r="S3" s="2"/>
      <c r="T3" s="2"/>
      <c r="U3" s="2"/>
      <c r="V3" s="2"/>
      <c r="W3" s="2"/>
      <c r="X3" s="2"/>
      <c r="Y3" s="2"/>
      <c r="Z3" s="2"/>
      <c r="AA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2"/>
      <c r="S4" s="2"/>
      <c r="T4" s="2"/>
      <c r="U4" s="2"/>
      <c r="V4" s="2"/>
      <c r="W4" s="2"/>
      <c r="X4" s="2"/>
      <c r="Y4" s="2"/>
      <c r="Z4" s="2"/>
      <c r="AA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2"/>
      <c r="S5" s="2"/>
      <c r="T5" s="2"/>
      <c r="U5" s="2"/>
      <c r="V5" s="2"/>
      <c r="W5" s="2"/>
      <c r="X5" s="2"/>
      <c r="Y5" s="2"/>
      <c r="Z5" s="2"/>
      <c r="AA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9" t="s">
        <v>5</v>
      </c>
      <c r="I6" s="9"/>
      <c r="J6" s="9"/>
      <c r="K6" s="9"/>
      <c r="L6" s="9"/>
      <c r="M6" s="9"/>
      <c r="N6" s="10" t="s">
        <v>6</v>
      </c>
      <c r="O6" s="10"/>
      <c r="P6" s="10"/>
      <c r="Q6" s="10"/>
      <c r="R6" s="2"/>
      <c r="S6" s="2"/>
      <c r="T6" s="2"/>
      <c r="U6" s="2"/>
      <c r="V6" s="2"/>
      <c r="W6" s="2"/>
      <c r="X6" s="2"/>
      <c r="Y6" s="2"/>
      <c r="Z6" s="2"/>
      <c r="AA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2" t="s">
        <v>12</v>
      </c>
      <c r="H7" s="12" t="s">
        <v>13</v>
      </c>
      <c r="I7" s="12" t="s">
        <v>14</v>
      </c>
      <c r="J7" s="12" t="s">
        <v>15</v>
      </c>
      <c r="K7" s="12" t="s">
        <v>16</v>
      </c>
      <c r="L7" s="12" t="s">
        <v>17</v>
      </c>
      <c r="M7" s="12" t="s">
        <v>18</v>
      </c>
      <c r="N7" s="12" t="s">
        <v>15</v>
      </c>
      <c r="O7" s="12" t="s">
        <v>16</v>
      </c>
      <c r="P7" s="12" t="s">
        <v>17</v>
      </c>
      <c r="Q7" s="13" t="s">
        <v>18</v>
      </c>
      <c r="R7" s="2"/>
      <c r="S7" s="2"/>
      <c r="T7" s="2"/>
      <c r="U7" s="2"/>
      <c r="V7" s="2"/>
      <c r="W7" s="2"/>
      <c r="X7" s="2"/>
      <c r="Y7" s="2"/>
      <c r="Z7" s="2"/>
      <c r="AA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5" t="n">
        <f aca="false">F8+1</f>
        <v>7</v>
      </c>
      <c r="H8" s="15" t="n">
        <f aca="false">G8+1</f>
        <v>8</v>
      </c>
      <c r="I8" s="15" t="n">
        <f aca="false">H8+1</f>
        <v>9</v>
      </c>
      <c r="J8" s="15" t="n">
        <f aca="false">I8+1</f>
        <v>10</v>
      </c>
      <c r="K8" s="15" t="n">
        <f aca="false">J8+1</f>
        <v>11</v>
      </c>
      <c r="L8" s="15" t="n">
        <f aca="false">K8+1</f>
        <v>12</v>
      </c>
      <c r="M8" s="15" t="n">
        <f aca="false">L8+1</f>
        <v>13</v>
      </c>
      <c r="N8" s="15" t="n">
        <f aca="false">M8+1</f>
        <v>14</v>
      </c>
      <c r="O8" s="15" t="n">
        <f aca="false">N8+1</f>
        <v>15</v>
      </c>
      <c r="P8" s="15" t="n">
        <f aca="false">O8+1</f>
        <v>16</v>
      </c>
      <c r="Q8" s="16" t="n">
        <f aca="false">P8+1</f>
        <v>17</v>
      </c>
      <c r="R8" s="2"/>
      <c r="S8" s="2"/>
      <c r="T8" s="2"/>
      <c r="U8" s="2"/>
      <c r="V8" s="2"/>
      <c r="W8" s="2"/>
      <c r="X8" s="2"/>
      <c r="Y8" s="2"/>
      <c r="Z8" s="2"/>
      <c r="AA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21" t="s">
        <v>22</v>
      </c>
      <c r="H9" s="112" t="n">
        <v>3</v>
      </c>
      <c r="I9" s="23"/>
      <c r="J9" s="23"/>
      <c r="K9" s="24" t="n">
        <f aca="false">L9+M9</f>
        <v>0</v>
      </c>
      <c r="L9" s="24"/>
      <c r="M9" s="24"/>
      <c r="N9" s="23" t="n">
        <v>4</v>
      </c>
      <c r="O9" s="24" t="n">
        <f aca="false">P9+Q9</f>
        <v>0</v>
      </c>
      <c r="P9" s="24"/>
      <c r="Q9" s="25"/>
      <c r="R9" s="2"/>
      <c r="S9" s="2"/>
      <c r="T9" s="2"/>
      <c r="U9" s="2"/>
      <c r="V9" s="2"/>
      <c r="W9" s="2"/>
      <c r="X9" s="2"/>
      <c r="Y9" s="2"/>
      <c r="Z9" s="2"/>
      <c r="AA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27" t="s">
        <v>23</v>
      </c>
      <c r="H10" s="118" t="n">
        <v>1</v>
      </c>
      <c r="I10" s="28"/>
      <c r="J10" s="28"/>
      <c r="K10" s="29" t="n">
        <f aca="false">L10+M10</f>
        <v>0</v>
      </c>
      <c r="L10" s="29"/>
      <c r="M10" s="30"/>
      <c r="N10" s="28" t="n">
        <v>1</v>
      </c>
      <c r="O10" s="29" t="n">
        <v>776.7</v>
      </c>
      <c r="P10" s="29" t="n">
        <v>776.7</v>
      </c>
      <c r="Q10" s="3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37" t="s">
        <v>22</v>
      </c>
      <c r="H11" s="114" t="n">
        <v>8</v>
      </c>
      <c r="I11" s="39" t="n">
        <v>6</v>
      </c>
      <c r="J11" s="39" t="n">
        <v>6</v>
      </c>
      <c r="K11" s="40" t="n">
        <f aca="false">L11+M11</f>
        <v>0</v>
      </c>
      <c r="L11" s="40"/>
      <c r="M11" s="40"/>
      <c r="N11" s="39" t="n">
        <v>3</v>
      </c>
      <c r="O11" s="40" t="n">
        <f aca="false">P11+Q11</f>
        <v>0</v>
      </c>
      <c r="P11" s="40"/>
      <c r="Q11" s="41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43" t="s">
        <v>26</v>
      </c>
      <c r="H12" s="118" t="n">
        <v>1</v>
      </c>
      <c r="I12" s="44"/>
      <c r="J12" s="45"/>
      <c r="K12" s="46" t="n">
        <f aca="false">L12+M12</f>
        <v>0</v>
      </c>
      <c r="L12" s="47"/>
      <c r="M12" s="47"/>
      <c r="N12" s="45" t="n">
        <v>1</v>
      </c>
      <c r="O12" s="46" t="n">
        <f aca="false">P12+Q12</f>
        <v>0</v>
      </c>
      <c r="P12" s="46"/>
      <c r="Q12" s="48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21" t="s">
        <v>22</v>
      </c>
      <c r="H13" s="114" t="n">
        <v>12</v>
      </c>
      <c r="I13" s="23" t="n">
        <v>10</v>
      </c>
      <c r="J13" s="23" t="n">
        <v>12</v>
      </c>
      <c r="K13" s="24" t="n">
        <f aca="false">L13+M13</f>
        <v>0</v>
      </c>
      <c r="L13" s="24"/>
      <c r="M13" s="24"/>
      <c r="N13" s="23" t="n">
        <v>2</v>
      </c>
      <c r="O13" s="24" t="n">
        <f aca="false">P13+Q13</f>
        <v>2748.72</v>
      </c>
      <c r="P13" s="24" t="n">
        <v>2748.72</v>
      </c>
      <c r="Q13" s="25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27" t="s">
        <v>26</v>
      </c>
      <c r="H14" s="115"/>
      <c r="I14" s="28"/>
      <c r="J14" s="28"/>
      <c r="K14" s="29" t="n">
        <v>3692.1</v>
      </c>
      <c r="L14" s="29" t="n">
        <v>3692.1</v>
      </c>
      <c r="M14" s="30"/>
      <c r="N14" s="28" t="n">
        <v>4</v>
      </c>
      <c r="O14" s="29" t="n">
        <f aca="false">P14+Q14</f>
        <v>0</v>
      </c>
      <c r="P14" s="29"/>
      <c r="Q14" s="3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21" t="s">
        <v>22</v>
      </c>
      <c r="H15" s="116"/>
      <c r="I15" s="50"/>
      <c r="J15" s="39"/>
      <c r="K15" s="40" t="n">
        <f aca="false">L15+M15</f>
        <v>0</v>
      </c>
      <c r="L15" s="51"/>
      <c r="M15" s="51"/>
      <c r="N15" s="39"/>
      <c r="O15" s="40" t="n">
        <f aca="false">P15+Q15</f>
        <v>0</v>
      </c>
      <c r="P15" s="40"/>
      <c r="Q15" s="41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52" t="s">
        <v>26</v>
      </c>
      <c r="H16" s="117" t="n">
        <v>2</v>
      </c>
      <c r="I16" s="45"/>
      <c r="J16" s="45"/>
      <c r="K16" s="46" t="n">
        <f aca="false">L16+M16</f>
        <v>0</v>
      </c>
      <c r="L16" s="46"/>
      <c r="M16" s="47"/>
      <c r="N16" s="45" t="n">
        <v>2</v>
      </c>
      <c r="O16" s="46" t="n">
        <f aca="false">P16+Q16</f>
        <v>0</v>
      </c>
      <c r="P16" s="46"/>
      <c r="Q16" s="48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21" t="s">
        <v>22</v>
      </c>
      <c r="H17" s="114" t="n">
        <v>6</v>
      </c>
      <c r="I17" s="23" t="n">
        <v>1</v>
      </c>
      <c r="J17" s="23" t="n">
        <v>1</v>
      </c>
      <c r="K17" s="24" t="n">
        <f aca="false">L17+M17</f>
        <v>0</v>
      </c>
      <c r="L17" s="24"/>
      <c r="M17" s="24"/>
      <c r="N17" s="23" t="n">
        <v>10</v>
      </c>
      <c r="O17" s="24" t="n">
        <f aca="false">P17+Q17</f>
        <v>9903.11</v>
      </c>
      <c r="P17" s="24" t="n">
        <v>9903.11</v>
      </c>
      <c r="Q17" s="25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27" t="s">
        <v>26</v>
      </c>
      <c r="H18" s="117" t="n">
        <v>2</v>
      </c>
      <c r="I18" s="31"/>
      <c r="J18" s="31"/>
      <c r="K18" s="29" t="n">
        <f aca="false">L18+M18</f>
        <v>0</v>
      </c>
      <c r="L18" s="30"/>
      <c r="M18" s="30"/>
      <c r="N18" s="31"/>
      <c r="O18" s="29" t="n">
        <f aca="false">P18+Q18</f>
        <v>0</v>
      </c>
      <c r="P18" s="29"/>
      <c r="Q18" s="3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21" t="s">
        <v>22</v>
      </c>
      <c r="H19" s="114" t="n">
        <v>14</v>
      </c>
      <c r="I19" s="39" t="n">
        <v>8</v>
      </c>
      <c r="J19" s="39" t="n">
        <v>10</v>
      </c>
      <c r="K19" s="40" t="n">
        <f aca="false">L19+M19</f>
        <v>7998.6</v>
      </c>
      <c r="L19" s="40" t="n">
        <v>7998.6</v>
      </c>
      <c r="M19" s="40"/>
      <c r="N19" s="39" t="n">
        <v>8</v>
      </c>
      <c r="O19" s="40" t="n">
        <f aca="false">P19+Q19</f>
        <v>13470.86</v>
      </c>
      <c r="P19" s="40" t="n">
        <v>13470.86</v>
      </c>
      <c r="Q19" s="41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71"/>
      <c r="G20" s="43" t="s">
        <v>23</v>
      </c>
      <c r="H20" s="126" t="n">
        <v>2</v>
      </c>
      <c r="I20" s="64"/>
      <c r="J20" s="64"/>
      <c r="K20" s="65" t="n">
        <f aca="false">L20+M20</f>
        <v>0</v>
      </c>
      <c r="L20" s="65"/>
      <c r="M20" s="65"/>
      <c r="N20" s="64"/>
      <c r="O20" s="65" t="n">
        <f aca="false">P20+Q20</f>
        <v>0</v>
      </c>
      <c r="P20" s="65"/>
      <c r="Q20" s="66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customFormat="false" ht="15.75" hidden="false" customHeight="true" outlineLevel="0" collapsed="false">
      <c r="A21" s="17"/>
      <c r="B21" s="18" t="s">
        <v>162</v>
      </c>
      <c r="C21" s="19"/>
      <c r="D21" s="19"/>
      <c r="E21" s="19"/>
      <c r="F21" s="20"/>
      <c r="G21" s="21" t="s">
        <v>22</v>
      </c>
      <c r="H21" s="125" t="n">
        <v>2</v>
      </c>
      <c r="I21" s="67"/>
      <c r="J21" s="67"/>
      <c r="K21" s="68" t="n">
        <f aca="false">L21+M21</f>
        <v>0</v>
      </c>
      <c r="L21" s="68"/>
      <c r="M21" s="68"/>
      <c r="N21" s="67"/>
      <c r="O21" s="68" t="n">
        <f aca="false">P21+Q21</f>
        <v>0</v>
      </c>
      <c r="P21" s="68"/>
      <c r="Q21" s="69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customFormat="false" ht="15.75" hidden="false" customHeight="true" outlineLevel="0" collapsed="false">
      <c r="A22" s="17"/>
      <c r="B22" s="18"/>
      <c r="C22" s="18"/>
      <c r="D22" s="18"/>
      <c r="E22" s="18"/>
      <c r="F22" s="57"/>
      <c r="G22" s="27" t="s">
        <v>26</v>
      </c>
      <c r="H22" s="86"/>
      <c r="I22" s="58"/>
      <c r="J22" s="58"/>
      <c r="K22" s="59" t="n">
        <f aca="false">L22+M22</f>
        <v>0</v>
      </c>
      <c r="L22" s="59"/>
      <c r="M22" s="59"/>
      <c r="N22" s="58"/>
      <c r="O22" s="59" t="n">
        <f aca="false">P22+Q22</f>
        <v>0</v>
      </c>
      <c r="P22" s="59"/>
      <c r="Q22" s="60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customFormat="false" ht="15.75" hidden="false" customHeight="true" outlineLevel="0" collapsed="false">
      <c r="A23" s="33"/>
      <c r="B23" s="34" t="s">
        <v>36</v>
      </c>
      <c r="C23" s="35" t="s">
        <v>20</v>
      </c>
      <c r="D23" s="35"/>
      <c r="E23" s="35" t="s">
        <v>25</v>
      </c>
      <c r="F23" s="36"/>
      <c r="G23" s="37" t="s">
        <v>22</v>
      </c>
      <c r="H23" s="114" t="n">
        <v>9</v>
      </c>
      <c r="I23" s="61" t="n">
        <v>6</v>
      </c>
      <c r="J23" s="61" t="n">
        <v>6</v>
      </c>
      <c r="K23" s="62" t="n">
        <f aca="false">L23+M23</f>
        <v>2803.78</v>
      </c>
      <c r="L23" s="62" t="n">
        <v>2803.78</v>
      </c>
      <c r="M23" s="62"/>
      <c r="N23" s="61" t="n">
        <v>5</v>
      </c>
      <c r="O23" s="62" t="n">
        <f aca="false">P23+Q23</f>
        <v>2343.46</v>
      </c>
      <c r="P23" s="62" t="n">
        <v>2343.46</v>
      </c>
      <c r="Q23" s="63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customFormat="false" ht="15.75" hidden="false" customHeight="true" outlineLevel="0" collapsed="false">
      <c r="A24" s="33"/>
      <c r="B24" s="34"/>
      <c r="C24" s="34"/>
      <c r="D24" s="34"/>
      <c r="E24" s="34"/>
      <c r="F24" s="42" t="s">
        <v>163</v>
      </c>
      <c r="G24" s="43" t="s">
        <v>26</v>
      </c>
      <c r="H24" s="118" t="n">
        <v>1</v>
      </c>
      <c r="I24" s="64"/>
      <c r="J24" s="64"/>
      <c r="K24" s="65" t="n">
        <f aca="false">L24+M24</f>
        <v>0</v>
      </c>
      <c r="L24" s="65"/>
      <c r="M24" s="65"/>
      <c r="N24" s="64" t="n">
        <v>6</v>
      </c>
      <c r="O24" s="65" t="n">
        <f aca="false">P24+Q24</f>
        <v>0</v>
      </c>
      <c r="P24" s="65"/>
      <c r="Q24" s="66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customFormat="false" ht="15" hidden="false" customHeight="true" outlineLevel="0" collapsed="false">
      <c r="A25" s="17"/>
      <c r="B25" s="18" t="s">
        <v>37</v>
      </c>
      <c r="C25" s="19" t="s">
        <v>38</v>
      </c>
      <c r="D25" s="19" t="s">
        <v>39</v>
      </c>
      <c r="E25" s="19" t="s">
        <v>25</v>
      </c>
      <c r="F25" s="22"/>
      <c r="G25" s="21" t="s">
        <v>22</v>
      </c>
      <c r="H25" s="114" t="n">
        <v>1</v>
      </c>
      <c r="I25" s="67"/>
      <c r="J25" s="67"/>
      <c r="K25" s="68" t="n">
        <f aca="false">L25+M25</f>
        <v>0</v>
      </c>
      <c r="L25" s="68"/>
      <c r="M25" s="68"/>
      <c r="N25" s="67" t="n">
        <v>3</v>
      </c>
      <c r="O25" s="68" t="n">
        <f aca="false">P25+Q25</f>
        <v>3202.02</v>
      </c>
      <c r="P25" s="68" t="n">
        <v>3202.02</v>
      </c>
      <c r="Q25" s="69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customFormat="false" ht="18.75" hidden="false" customHeight="true" outlineLevel="0" collapsed="false">
      <c r="A26" s="17"/>
      <c r="B26" s="18"/>
      <c r="C26" s="18"/>
      <c r="D26" s="18"/>
      <c r="E26" s="18"/>
      <c r="F26" s="42" t="s">
        <v>164</v>
      </c>
      <c r="G26" s="43" t="s">
        <v>26</v>
      </c>
      <c r="H26" s="122" t="n">
        <v>2</v>
      </c>
      <c r="I26" s="64"/>
      <c r="J26" s="64"/>
      <c r="K26" s="65" t="n">
        <f aca="false">L26+M26</f>
        <v>0</v>
      </c>
      <c r="L26" s="65"/>
      <c r="M26" s="65"/>
      <c r="N26" s="64" t="n">
        <v>3</v>
      </c>
      <c r="O26" s="65" t="n">
        <f aca="false">P26+Q26</f>
        <v>0</v>
      </c>
      <c r="P26" s="65"/>
      <c r="Q26" s="66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customFormat="false" ht="16.5" hidden="false" customHeight="true" outlineLevel="0" collapsed="false">
      <c r="A27" s="17"/>
      <c r="B27" s="18" t="s">
        <v>153</v>
      </c>
      <c r="C27" s="19"/>
      <c r="D27" s="19"/>
      <c r="E27" s="19"/>
      <c r="F27" s="20"/>
      <c r="G27" s="21" t="s">
        <v>22</v>
      </c>
      <c r="H27" s="112" t="n">
        <v>2</v>
      </c>
      <c r="I27" s="67"/>
      <c r="J27" s="67"/>
      <c r="K27" s="68" t="n">
        <f aca="false">L27+M27</f>
        <v>0</v>
      </c>
      <c r="L27" s="68"/>
      <c r="M27" s="68"/>
      <c r="N27" s="67"/>
      <c r="O27" s="68" t="n">
        <f aca="false">P27+Q27</f>
        <v>0</v>
      </c>
      <c r="P27" s="68"/>
      <c r="Q27" s="69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customFormat="false" ht="16.5" hidden="false" customHeight="true" outlineLevel="0" collapsed="false">
      <c r="A28" s="17"/>
      <c r="B28" s="18"/>
      <c r="C28" s="18"/>
      <c r="D28" s="18"/>
      <c r="E28" s="18"/>
      <c r="F28" s="57"/>
      <c r="G28" s="27" t="s">
        <v>23</v>
      </c>
      <c r="H28" s="123" t="n">
        <v>1</v>
      </c>
      <c r="I28" s="58"/>
      <c r="J28" s="58"/>
      <c r="K28" s="59" t="n">
        <f aca="false">L28+M28</f>
        <v>0</v>
      </c>
      <c r="L28" s="59"/>
      <c r="M28" s="59"/>
      <c r="N28" s="58"/>
      <c r="O28" s="59" t="n">
        <f aca="false">P28+Q28</f>
        <v>0</v>
      </c>
      <c r="P28" s="59"/>
      <c r="Q28" s="60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customFormat="false" ht="16.5" hidden="false" customHeight="true" outlineLevel="0" collapsed="false">
      <c r="A29" s="54"/>
      <c r="B29" s="55" t="s">
        <v>40</v>
      </c>
      <c r="C29" s="56" t="s">
        <v>38</v>
      </c>
      <c r="D29" s="56" t="s">
        <v>41</v>
      </c>
      <c r="E29" s="56" t="s">
        <v>42</v>
      </c>
      <c r="F29" s="36"/>
      <c r="G29" s="37" t="s">
        <v>22</v>
      </c>
      <c r="H29" s="116"/>
      <c r="I29" s="61"/>
      <c r="J29" s="61"/>
      <c r="K29" s="62" t="n">
        <f aca="false">L29+M29</f>
        <v>0</v>
      </c>
      <c r="L29" s="62"/>
      <c r="M29" s="62"/>
      <c r="N29" s="61"/>
      <c r="O29" s="62" t="n">
        <f aca="false">P29+Q29</f>
        <v>0</v>
      </c>
      <c r="P29" s="62"/>
      <c r="Q29" s="63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customFormat="false" ht="16.5" hidden="false" customHeight="true" outlineLevel="0" collapsed="false">
      <c r="A30" s="54"/>
      <c r="B30" s="55"/>
      <c r="C30" s="55"/>
      <c r="D30" s="55"/>
      <c r="E30" s="55"/>
      <c r="F30" s="57"/>
      <c r="G30" s="27" t="s">
        <v>23</v>
      </c>
      <c r="H30" s="115"/>
      <c r="I30" s="58"/>
      <c r="J30" s="58"/>
      <c r="K30" s="59" t="n">
        <f aca="false">L30+M30</f>
        <v>0</v>
      </c>
      <c r="L30" s="59"/>
      <c r="M30" s="59"/>
      <c r="N30" s="58"/>
      <c r="O30" s="59" t="n">
        <f aca="false">P30+Q30</f>
        <v>0</v>
      </c>
      <c r="P30" s="59"/>
      <c r="Q30" s="60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customFormat="false" ht="15.75" hidden="false" customHeight="true" outlineLevel="0" collapsed="false">
      <c r="A31" s="54"/>
      <c r="B31" s="55" t="s">
        <v>43</v>
      </c>
      <c r="C31" s="56" t="s">
        <v>33</v>
      </c>
      <c r="D31" s="56" t="s">
        <v>44</v>
      </c>
      <c r="E31" s="56" t="s">
        <v>45</v>
      </c>
      <c r="F31" s="36"/>
      <c r="G31" s="21" t="s">
        <v>22</v>
      </c>
      <c r="H31" s="114" t="n">
        <v>7</v>
      </c>
      <c r="I31" s="61" t="n">
        <v>3</v>
      </c>
      <c r="J31" s="61" t="n">
        <v>3</v>
      </c>
      <c r="K31" s="62" t="n">
        <v>4815.55</v>
      </c>
      <c r="L31" s="62" t="n">
        <v>4815.55</v>
      </c>
      <c r="M31" s="62"/>
      <c r="N31" s="61" t="n">
        <v>7</v>
      </c>
      <c r="O31" s="62" t="n">
        <f aca="false">P31+Q31</f>
        <v>17818.29</v>
      </c>
      <c r="P31" s="62" t="n">
        <v>17818.29</v>
      </c>
      <c r="Q31" s="63"/>
      <c r="R31" s="2"/>
      <c r="S31" s="70"/>
      <c r="T31" s="70"/>
      <c r="U31" s="70"/>
      <c r="V31" s="70"/>
      <c r="W31" s="70"/>
      <c r="X31" s="70"/>
      <c r="Y31" s="70"/>
      <c r="Z31" s="70"/>
      <c r="AA31" s="70"/>
    </row>
    <row r="32" customFormat="false" ht="15.75" hidden="false" customHeight="true" outlineLevel="0" collapsed="false">
      <c r="A32" s="54"/>
      <c r="B32" s="55"/>
      <c r="C32" s="55"/>
      <c r="D32" s="55"/>
      <c r="E32" s="55"/>
      <c r="F32" s="26" t="s">
        <v>165</v>
      </c>
      <c r="G32" s="27" t="s">
        <v>26</v>
      </c>
      <c r="H32" s="115"/>
      <c r="I32" s="58"/>
      <c r="J32" s="58"/>
      <c r="K32" s="59" t="n">
        <f aca="false">L32+M32</f>
        <v>0</v>
      </c>
      <c r="L32" s="59"/>
      <c r="M32" s="59"/>
      <c r="N32" s="58" t="n">
        <v>2</v>
      </c>
      <c r="O32" s="59" t="n">
        <f aca="false">P32+Q32</f>
        <v>0</v>
      </c>
      <c r="P32" s="59"/>
      <c r="Q32" s="60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customFormat="false" ht="15" hidden="false" customHeight="true" outlineLevel="0" collapsed="false">
      <c r="A33" s="33"/>
      <c r="B33" s="34" t="s">
        <v>46</v>
      </c>
      <c r="C33" s="35" t="s">
        <v>20</v>
      </c>
      <c r="D33" s="35"/>
      <c r="E33" s="35" t="s">
        <v>25</v>
      </c>
      <c r="F33" s="36"/>
      <c r="G33" s="21" t="s">
        <v>22</v>
      </c>
      <c r="H33" s="114" t="n">
        <v>5</v>
      </c>
      <c r="I33" s="61" t="n">
        <v>2</v>
      </c>
      <c r="J33" s="61" t="n">
        <v>3</v>
      </c>
      <c r="K33" s="62" t="n">
        <f aca="false">L33+M33</f>
        <v>1924.1</v>
      </c>
      <c r="L33" s="62" t="n">
        <v>1924.1</v>
      </c>
      <c r="M33" s="62"/>
      <c r="N33" s="61" t="n">
        <v>11</v>
      </c>
      <c r="O33" s="62" t="n">
        <f aca="false">P33+Q33</f>
        <v>15233.45</v>
      </c>
      <c r="P33" s="62" t="n">
        <v>15233.45</v>
      </c>
      <c r="Q33" s="63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customFormat="false" ht="15.75" hidden="false" customHeight="true" outlineLevel="0" collapsed="false">
      <c r="A34" s="33"/>
      <c r="B34" s="34"/>
      <c r="C34" s="34"/>
      <c r="D34" s="34"/>
      <c r="E34" s="34"/>
      <c r="F34" s="71"/>
      <c r="G34" s="43" t="s">
        <v>26</v>
      </c>
      <c r="H34" s="115"/>
      <c r="I34" s="64"/>
      <c r="J34" s="64"/>
      <c r="K34" s="65" t="n">
        <f aca="false">L34+M34</f>
        <v>0</v>
      </c>
      <c r="L34" s="65"/>
      <c r="M34" s="65"/>
      <c r="N34" s="64"/>
      <c r="O34" s="65" t="n">
        <f aca="false">P34+Q34</f>
        <v>0</v>
      </c>
      <c r="P34" s="65"/>
      <c r="Q34" s="66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customFormat="false" ht="15.75" hidden="false" customHeight="true" outlineLevel="0" collapsed="false">
      <c r="A35" s="72"/>
      <c r="B35" s="73" t="s">
        <v>47</v>
      </c>
      <c r="C35" s="74" t="s">
        <v>20</v>
      </c>
      <c r="D35" s="74" t="s">
        <v>166</v>
      </c>
      <c r="E35" s="75" t="s">
        <v>25</v>
      </c>
      <c r="F35" s="22"/>
      <c r="G35" s="21" t="s">
        <v>22</v>
      </c>
      <c r="H35" s="114" t="n">
        <v>1</v>
      </c>
      <c r="I35" s="67" t="n">
        <v>1</v>
      </c>
      <c r="J35" s="67" t="n">
        <v>1</v>
      </c>
      <c r="K35" s="68" t="n">
        <f aca="false">L35+M35</f>
        <v>0</v>
      </c>
      <c r="L35" s="68"/>
      <c r="M35" s="68"/>
      <c r="N35" s="67"/>
      <c r="O35" s="68" t="n">
        <f aca="false">P35+Q35</f>
        <v>0</v>
      </c>
      <c r="P35" s="68"/>
      <c r="Q35" s="69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customFormat="false" ht="15.75" hidden="false" customHeight="true" outlineLevel="0" collapsed="false">
      <c r="A36" s="72"/>
      <c r="B36" s="73"/>
      <c r="C36" s="73"/>
      <c r="D36" s="73"/>
      <c r="E36" s="75"/>
      <c r="F36" s="42" t="s">
        <v>167</v>
      </c>
      <c r="G36" s="43" t="s">
        <v>26</v>
      </c>
      <c r="H36" s="117" t="n">
        <v>3</v>
      </c>
      <c r="I36" s="64"/>
      <c r="J36" s="64"/>
      <c r="K36" s="65" t="n">
        <f aca="false">L36+M36</f>
        <v>0</v>
      </c>
      <c r="L36" s="65"/>
      <c r="M36" s="65"/>
      <c r="N36" s="64" t="n">
        <v>1</v>
      </c>
      <c r="O36" s="65" t="n">
        <f aca="false">P36+Q36</f>
        <v>0</v>
      </c>
      <c r="P36" s="65"/>
      <c r="Q36" s="66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customFormat="false" ht="15.75" hidden="false" customHeight="true" outlineLevel="0" collapsed="false">
      <c r="A37" s="17"/>
      <c r="B37" s="18" t="s">
        <v>48</v>
      </c>
      <c r="C37" s="19" t="s">
        <v>20</v>
      </c>
      <c r="D37" s="19" t="s">
        <v>168</v>
      </c>
      <c r="E37" s="19" t="s">
        <v>25</v>
      </c>
      <c r="F37" s="20"/>
      <c r="G37" s="21" t="s">
        <v>22</v>
      </c>
      <c r="H37" s="116"/>
      <c r="I37" s="67"/>
      <c r="J37" s="67"/>
      <c r="K37" s="68" t="n">
        <f aca="false">L37+M37</f>
        <v>0</v>
      </c>
      <c r="L37" s="68"/>
      <c r="M37" s="68"/>
      <c r="N37" s="67" t="n">
        <v>3</v>
      </c>
      <c r="O37" s="68" t="n">
        <f aca="false">P37+Q37</f>
        <v>0</v>
      </c>
      <c r="P37" s="68"/>
      <c r="Q37" s="69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customFormat="false" ht="15.75" hidden="false" customHeight="true" outlineLevel="0" collapsed="false">
      <c r="A38" s="17"/>
      <c r="B38" s="18"/>
      <c r="C38" s="18"/>
      <c r="D38" s="18"/>
      <c r="E38" s="18"/>
      <c r="F38" s="26" t="s">
        <v>169</v>
      </c>
      <c r="G38" s="27" t="s">
        <v>26</v>
      </c>
      <c r="H38" s="118" t="n">
        <v>2</v>
      </c>
      <c r="I38" s="58"/>
      <c r="J38" s="58"/>
      <c r="K38" s="59" t="n">
        <v>528.6</v>
      </c>
      <c r="L38" s="59" t="n">
        <v>528.6</v>
      </c>
      <c r="M38" s="59"/>
      <c r="N38" s="58" t="n">
        <v>1</v>
      </c>
      <c r="O38" s="59" t="n">
        <f aca="false">P38+Q38</f>
        <v>0</v>
      </c>
      <c r="P38" s="59"/>
      <c r="Q38" s="60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customFormat="false" ht="15" hidden="false" customHeight="true" outlineLevel="0" collapsed="false">
      <c r="A39" s="54"/>
      <c r="B39" s="55" t="s">
        <v>49</v>
      </c>
      <c r="C39" s="56" t="s">
        <v>20</v>
      </c>
      <c r="D39" s="78"/>
      <c r="E39" s="56" t="s">
        <v>50</v>
      </c>
      <c r="F39" s="36"/>
      <c r="G39" s="21" t="s">
        <v>22</v>
      </c>
      <c r="H39" s="119"/>
      <c r="I39" s="61"/>
      <c r="J39" s="61"/>
      <c r="K39" s="62" t="n">
        <f aca="false">L39+M39</f>
        <v>0</v>
      </c>
      <c r="L39" s="62"/>
      <c r="M39" s="62"/>
      <c r="N39" s="61"/>
      <c r="O39" s="62" t="n">
        <f aca="false">P39+Q39</f>
        <v>0</v>
      </c>
      <c r="P39" s="62"/>
      <c r="Q39" s="63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57"/>
      <c r="G40" s="27" t="s">
        <v>26</v>
      </c>
      <c r="H40" s="118"/>
      <c r="I40" s="58"/>
      <c r="J40" s="58"/>
      <c r="K40" s="59" t="n">
        <f aca="false">L40+M40</f>
        <v>0</v>
      </c>
      <c r="L40" s="59"/>
      <c r="M40" s="59"/>
      <c r="N40" s="58"/>
      <c r="O40" s="59" t="n">
        <f aca="false">P40+Q40</f>
        <v>0</v>
      </c>
      <c r="P40" s="59"/>
      <c r="Q40" s="60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customFormat="false" ht="15" hidden="false" customHeight="true" outlineLevel="0" collapsed="false">
      <c r="A41" s="33"/>
      <c r="B41" s="34" t="s">
        <v>51</v>
      </c>
      <c r="C41" s="35" t="s">
        <v>20</v>
      </c>
      <c r="D41" s="35"/>
      <c r="E41" s="35" t="s">
        <v>52</v>
      </c>
      <c r="F41" s="36"/>
      <c r="G41" s="21" t="s">
        <v>22</v>
      </c>
      <c r="H41" s="119" t="n">
        <v>1</v>
      </c>
      <c r="I41" s="61"/>
      <c r="J41" s="61"/>
      <c r="K41" s="62" t="n">
        <f aca="false">L41+M41</f>
        <v>0</v>
      </c>
      <c r="L41" s="62"/>
      <c r="M41" s="62"/>
      <c r="N41" s="61" t="n">
        <v>1</v>
      </c>
      <c r="O41" s="62" t="n">
        <f aca="false">P41+Q41</f>
        <v>5039.32</v>
      </c>
      <c r="P41" s="62" t="n">
        <v>5039.32</v>
      </c>
      <c r="Q41" s="63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43" t="s">
        <v>26</v>
      </c>
      <c r="H42" s="122"/>
      <c r="I42" s="64"/>
      <c r="J42" s="64"/>
      <c r="K42" s="65" t="n">
        <f aca="false">L42+M42</f>
        <v>0</v>
      </c>
      <c r="L42" s="65"/>
      <c r="M42" s="65"/>
      <c r="N42" s="64"/>
      <c r="O42" s="65" t="n">
        <f aca="false">P42+Q42</f>
        <v>0</v>
      </c>
      <c r="P42" s="65"/>
      <c r="Q42" s="66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customFormat="false" ht="15" hidden="false" customHeight="true" outlineLevel="0" collapsed="false">
      <c r="A43" s="17"/>
      <c r="B43" s="18" t="s">
        <v>154</v>
      </c>
      <c r="C43" s="19"/>
      <c r="D43" s="19" t="s">
        <v>170</v>
      </c>
      <c r="E43" s="19"/>
      <c r="F43" s="20"/>
      <c r="G43" s="21" t="s">
        <v>22</v>
      </c>
      <c r="H43" s="125" t="n">
        <v>25</v>
      </c>
      <c r="I43" s="67" t="n">
        <v>19</v>
      </c>
      <c r="J43" s="67" t="n">
        <v>19</v>
      </c>
      <c r="K43" s="68" t="n">
        <f aca="false">L43+M43</f>
        <v>0</v>
      </c>
      <c r="L43" s="68"/>
      <c r="M43" s="68"/>
      <c r="N43" s="67"/>
      <c r="O43" s="68" t="n">
        <f aca="false">P43+Q43</f>
        <v>0</v>
      </c>
      <c r="P43" s="68"/>
      <c r="Q43" s="69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customFormat="false" ht="15" hidden="false" customHeight="false" outlineLevel="0" collapsed="false">
      <c r="A44" s="17"/>
      <c r="B44" s="18"/>
      <c r="C44" s="18"/>
      <c r="D44" s="18"/>
      <c r="E44" s="18"/>
      <c r="F44" s="26" t="s">
        <v>171</v>
      </c>
      <c r="G44" s="27" t="s">
        <v>26</v>
      </c>
      <c r="H44" s="86" t="n">
        <v>3</v>
      </c>
      <c r="I44" s="58"/>
      <c r="J44" s="58"/>
      <c r="K44" s="59" t="n">
        <f aca="false">L44+M44</f>
        <v>0</v>
      </c>
      <c r="L44" s="59"/>
      <c r="M44" s="59"/>
      <c r="N44" s="58"/>
      <c r="O44" s="59" t="n">
        <f aca="false">P44+Q44</f>
        <v>0</v>
      </c>
      <c r="P44" s="59"/>
      <c r="Q44" s="60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customFormat="false" ht="15" hidden="false" customHeight="true" outlineLevel="0" collapsed="false">
      <c r="A45" s="54"/>
      <c r="B45" s="55" t="s">
        <v>53</v>
      </c>
      <c r="C45" s="56" t="s">
        <v>33</v>
      </c>
      <c r="D45" s="56" t="s">
        <v>54</v>
      </c>
      <c r="E45" s="56" t="s">
        <v>42</v>
      </c>
      <c r="F45" s="36"/>
      <c r="G45" s="37" t="s">
        <v>22</v>
      </c>
      <c r="H45" s="114" t="n">
        <v>8</v>
      </c>
      <c r="I45" s="61" t="n">
        <v>4</v>
      </c>
      <c r="J45" s="61" t="n">
        <v>5</v>
      </c>
      <c r="K45" s="62" t="n">
        <f aca="false">L45+M45</f>
        <v>1830.37</v>
      </c>
      <c r="L45" s="62" t="n">
        <v>1830.37</v>
      </c>
      <c r="M45" s="62"/>
      <c r="N45" s="61" t="n">
        <v>11</v>
      </c>
      <c r="O45" s="62" t="n">
        <f aca="false">P45+Q45</f>
        <v>34571.95</v>
      </c>
      <c r="P45" s="62" t="n">
        <v>34571.95</v>
      </c>
      <c r="Q45" s="63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customFormat="false" ht="15.75" hidden="false" customHeight="true" outlineLevel="0" collapsed="false">
      <c r="A46" s="54"/>
      <c r="B46" s="55"/>
      <c r="C46" s="55"/>
      <c r="D46" s="55"/>
      <c r="E46" s="55"/>
      <c r="F46" s="57"/>
      <c r="G46" s="27" t="s">
        <v>23</v>
      </c>
      <c r="H46" s="115"/>
      <c r="I46" s="58"/>
      <c r="J46" s="58"/>
      <c r="K46" s="59" t="n">
        <f aca="false">L46+M46</f>
        <v>0</v>
      </c>
      <c r="L46" s="59"/>
      <c r="M46" s="59"/>
      <c r="N46" s="58"/>
      <c r="O46" s="59" t="n">
        <f aca="false">P46+Q46</f>
        <v>0</v>
      </c>
      <c r="P46" s="59"/>
      <c r="Q46" s="60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customFormat="false" ht="15" hidden="false" customHeight="true" outlineLevel="0" collapsed="false">
      <c r="A47" s="33"/>
      <c r="B47" s="34" t="s">
        <v>55</v>
      </c>
      <c r="C47" s="35" t="s">
        <v>20</v>
      </c>
      <c r="D47" s="35"/>
      <c r="E47" s="35" t="s">
        <v>25</v>
      </c>
      <c r="F47" s="38"/>
      <c r="G47" s="21" t="s">
        <v>22</v>
      </c>
      <c r="H47" s="116"/>
      <c r="I47" s="61"/>
      <c r="J47" s="61"/>
      <c r="K47" s="62" t="n">
        <f aca="false">L47+M47</f>
        <v>0</v>
      </c>
      <c r="L47" s="62"/>
      <c r="M47" s="62"/>
      <c r="N47" s="61" t="n">
        <v>1</v>
      </c>
      <c r="O47" s="62" t="n">
        <f aca="false">P47+Q47</f>
        <v>0</v>
      </c>
      <c r="P47" s="62"/>
      <c r="Q47" s="63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customFormat="false" ht="15.75" hidden="false" customHeight="true" outlineLevel="0" collapsed="false">
      <c r="A48" s="33"/>
      <c r="B48" s="34"/>
      <c r="C48" s="34"/>
      <c r="D48" s="34"/>
      <c r="E48" s="34"/>
      <c r="F48" s="42" t="s">
        <v>172</v>
      </c>
      <c r="G48" s="43" t="s">
        <v>26</v>
      </c>
      <c r="H48" s="117" t="n">
        <v>3</v>
      </c>
      <c r="I48" s="64"/>
      <c r="J48" s="64"/>
      <c r="K48" s="65" t="n">
        <v>1409.6</v>
      </c>
      <c r="L48" s="65" t="n">
        <v>1409.6</v>
      </c>
      <c r="M48" s="65"/>
      <c r="N48" s="64" t="n">
        <v>5</v>
      </c>
      <c r="O48" s="65" t="n">
        <f aca="false">P48+Q48</f>
        <v>0</v>
      </c>
      <c r="P48" s="65"/>
      <c r="Q48" s="66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customFormat="false" ht="15.75" hidden="false" customHeight="true" outlineLevel="0" collapsed="false">
      <c r="A49" s="17"/>
      <c r="B49" s="18" t="s">
        <v>56</v>
      </c>
      <c r="C49" s="19" t="s">
        <v>33</v>
      </c>
      <c r="D49" s="19" t="s">
        <v>57</v>
      </c>
      <c r="E49" s="19" t="s">
        <v>25</v>
      </c>
      <c r="F49" s="20"/>
      <c r="G49" s="21" t="s">
        <v>22</v>
      </c>
      <c r="H49" s="114" t="n">
        <v>1</v>
      </c>
      <c r="I49" s="67"/>
      <c r="J49" s="67"/>
      <c r="K49" s="68" t="n">
        <f aca="false">L49+M49</f>
        <v>0</v>
      </c>
      <c r="L49" s="68"/>
      <c r="M49" s="68"/>
      <c r="N49" s="67"/>
      <c r="O49" s="68" t="n">
        <f aca="false">P49+Q49</f>
        <v>0</v>
      </c>
      <c r="P49" s="68"/>
      <c r="Q49" s="69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42"/>
      <c r="G50" s="43" t="s">
        <v>26</v>
      </c>
      <c r="H50" s="124"/>
      <c r="I50" s="64"/>
      <c r="J50" s="64"/>
      <c r="K50" s="65" t="n">
        <f aca="false">L50+M50</f>
        <v>0</v>
      </c>
      <c r="L50" s="65"/>
      <c r="M50" s="65"/>
      <c r="N50" s="64"/>
      <c r="O50" s="65" t="n">
        <f aca="false">P50+Q50</f>
        <v>0</v>
      </c>
      <c r="P50" s="65"/>
      <c r="Q50" s="66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customFormat="false" ht="15" hidden="false" customHeight="true" outlineLevel="0" collapsed="false">
      <c r="A51" s="17"/>
      <c r="B51" s="18" t="s">
        <v>155</v>
      </c>
      <c r="C51" s="19"/>
      <c r="D51" s="19"/>
      <c r="E51" s="19"/>
      <c r="F51" s="20"/>
      <c r="G51" s="21" t="s">
        <v>22</v>
      </c>
      <c r="H51" s="125" t="n">
        <v>5</v>
      </c>
      <c r="I51" s="67" t="n">
        <v>3</v>
      </c>
      <c r="J51" s="67" t="n">
        <v>3</v>
      </c>
      <c r="K51" s="68" t="n">
        <f aca="false">L51+M51</f>
        <v>0</v>
      </c>
      <c r="L51" s="68"/>
      <c r="M51" s="68"/>
      <c r="N51" s="67"/>
      <c r="O51" s="68" t="n">
        <f aca="false">P51+Q51</f>
        <v>0</v>
      </c>
      <c r="P51" s="68"/>
      <c r="Q51" s="69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71"/>
      <c r="G52" s="43" t="s">
        <v>26</v>
      </c>
      <c r="H52" s="139"/>
      <c r="I52" s="64"/>
      <c r="J52" s="64"/>
      <c r="K52" s="65" t="n">
        <f aca="false">L52+M52</f>
        <v>0</v>
      </c>
      <c r="L52" s="65"/>
      <c r="M52" s="65"/>
      <c r="N52" s="64"/>
      <c r="O52" s="65" t="n">
        <f aca="false">P52+Q52</f>
        <v>0</v>
      </c>
      <c r="P52" s="65"/>
      <c r="Q52" s="66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customFormat="false" ht="15" hidden="false" customHeight="true" outlineLevel="0" collapsed="false">
      <c r="A53" s="17"/>
      <c r="B53" s="18" t="s">
        <v>221</v>
      </c>
      <c r="C53" s="19"/>
      <c r="D53" s="19"/>
      <c r="E53" s="19"/>
      <c r="F53" s="20"/>
      <c r="G53" s="21" t="s">
        <v>22</v>
      </c>
      <c r="H53" s="125" t="n">
        <v>3</v>
      </c>
      <c r="I53" s="67"/>
      <c r="J53" s="67"/>
      <c r="K53" s="68" t="n">
        <f aca="false">L53+M53</f>
        <v>0</v>
      </c>
      <c r="L53" s="68"/>
      <c r="M53" s="68"/>
      <c r="N53" s="67"/>
      <c r="O53" s="68" t="n">
        <f aca="false">P53+Q53</f>
        <v>0</v>
      </c>
      <c r="P53" s="68"/>
      <c r="Q53" s="69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57"/>
      <c r="G54" s="27" t="s">
        <v>26</v>
      </c>
      <c r="H54" s="86"/>
      <c r="I54" s="58"/>
      <c r="J54" s="58"/>
      <c r="K54" s="59" t="n">
        <f aca="false">L54+M54</f>
        <v>0</v>
      </c>
      <c r="L54" s="59"/>
      <c r="M54" s="59"/>
      <c r="N54" s="58"/>
      <c r="O54" s="59" t="n">
        <f aca="false">P54+Q54</f>
        <v>0</v>
      </c>
      <c r="P54" s="59"/>
      <c r="Q54" s="60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customFormat="false" ht="15" hidden="false" customHeight="true" outlineLevel="0" collapsed="false">
      <c r="A55" s="33"/>
      <c r="B55" s="34" t="s">
        <v>58</v>
      </c>
      <c r="C55" s="35" t="s">
        <v>20</v>
      </c>
      <c r="D55" s="35"/>
      <c r="E55" s="35" t="s">
        <v>52</v>
      </c>
      <c r="F55" s="36"/>
      <c r="G55" s="37" t="s">
        <v>22</v>
      </c>
      <c r="H55" s="114" t="n">
        <v>4</v>
      </c>
      <c r="I55" s="61" t="n">
        <v>2</v>
      </c>
      <c r="J55" s="61" t="n">
        <v>2</v>
      </c>
      <c r="K55" s="62" t="n">
        <f aca="false">L55+M55</f>
        <v>0</v>
      </c>
      <c r="L55" s="62"/>
      <c r="M55" s="62"/>
      <c r="N55" s="61" t="n">
        <v>3</v>
      </c>
      <c r="O55" s="62" t="n">
        <f aca="false">P55+Q55</f>
        <v>2459.75</v>
      </c>
      <c r="P55" s="62" t="n">
        <v>2459.75</v>
      </c>
      <c r="Q55" s="63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customFormat="false" ht="15.75" hidden="false" customHeight="true" outlineLevel="0" collapsed="false">
      <c r="A56" s="33"/>
      <c r="B56" s="34"/>
      <c r="C56" s="34"/>
      <c r="D56" s="34"/>
      <c r="E56" s="34"/>
      <c r="F56" s="71"/>
      <c r="G56" s="43" t="s">
        <v>26</v>
      </c>
      <c r="H56" s="124"/>
      <c r="I56" s="64"/>
      <c r="J56" s="64"/>
      <c r="K56" s="65" t="n">
        <f aca="false">L56+M56</f>
        <v>0</v>
      </c>
      <c r="L56" s="65"/>
      <c r="M56" s="65"/>
      <c r="N56" s="64"/>
      <c r="O56" s="65" t="n">
        <f aca="false">P56+Q56</f>
        <v>0</v>
      </c>
      <c r="P56" s="65"/>
      <c r="Q56" s="66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customFormat="false" ht="15" hidden="false" customHeight="true" outlineLevel="0" collapsed="false">
      <c r="A57" s="17"/>
      <c r="B57" s="18" t="s">
        <v>222</v>
      </c>
      <c r="C57" s="19"/>
      <c r="D57" s="49"/>
      <c r="E57" s="19"/>
      <c r="F57" s="22"/>
      <c r="G57" s="21" t="s">
        <v>22</v>
      </c>
      <c r="H57" s="112"/>
      <c r="I57" s="67"/>
      <c r="J57" s="67"/>
      <c r="K57" s="68" t="n">
        <f aca="false">L57+M57</f>
        <v>0</v>
      </c>
      <c r="L57" s="68"/>
      <c r="M57" s="68"/>
      <c r="N57" s="67"/>
      <c r="O57" s="68" t="n">
        <f aca="false">P57+Q57</f>
        <v>0</v>
      </c>
      <c r="P57" s="68"/>
      <c r="Q57" s="69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customFormat="false" ht="15" hidden="false" customHeight="false" outlineLevel="0" collapsed="false">
      <c r="A58" s="17"/>
      <c r="B58" s="18"/>
      <c r="C58" s="18"/>
      <c r="D58" s="18"/>
      <c r="E58" s="18"/>
      <c r="F58" s="26"/>
      <c r="G58" s="27" t="s">
        <v>23</v>
      </c>
      <c r="H58" s="123" t="n">
        <v>1</v>
      </c>
      <c r="I58" s="58"/>
      <c r="J58" s="58"/>
      <c r="K58" s="59" t="n">
        <f aca="false">L58+M58</f>
        <v>0</v>
      </c>
      <c r="L58" s="59"/>
      <c r="M58" s="59"/>
      <c r="N58" s="58"/>
      <c r="O58" s="59" t="n">
        <f aca="false">P58+Q58</f>
        <v>0</v>
      </c>
      <c r="P58" s="59"/>
      <c r="Q58" s="60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customFormat="false" ht="15" hidden="false" customHeight="true" outlineLevel="0" collapsed="false">
      <c r="A59" s="33"/>
      <c r="B59" s="34" t="s">
        <v>59</v>
      </c>
      <c r="C59" s="35" t="s">
        <v>20</v>
      </c>
      <c r="D59" s="95"/>
      <c r="E59" s="35" t="s">
        <v>25</v>
      </c>
      <c r="F59" s="38"/>
      <c r="G59" s="37" t="s">
        <v>22</v>
      </c>
      <c r="H59" s="116"/>
      <c r="I59" s="61"/>
      <c r="J59" s="61"/>
      <c r="K59" s="62" t="n">
        <f aca="false">L59+M59</f>
        <v>0</v>
      </c>
      <c r="L59" s="62"/>
      <c r="M59" s="62"/>
      <c r="N59" s="61"/>
      <c r="O59" s="62" t="n">
        <f aca="false">P59+Q59</f>
        <v>0</v>
      </c>
      <c r="P59" s="62"/>
      <c r="Q59" s="63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71"/>
      <c r="G60" s="43" t="s">
        <v>26</v>
      </c>
      <c r="H60" s="115"/>
      <c r="I60" s="64"/>
      <c r="J60" s="64"/>
      <c r="K60" s="65" t="n">
        <f aca="false">L60+M60</f>
        <v>0</v>
      </c>
      <c r="L60" s="65"/>
      <c r="M60" s="65"/>
      <c r="N60" s="64"/>
      <c r="O60" s="65" t="n">
        <f aca="false">P60+Q60</f>
        <v>0</v>
      </c>
      <c r="P60" s="65"/>
      <c r="Q60" s="66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customFormat="false" ht="15" hidden="false" customHeight="true" outlineLevel="0" collapsed="false">
      <c r="A61" s="17"/>
      <c r="B61" s="18" t="s">
        <v>60</v>
      </c>
      <c r="C61" s="19" t="s">
        <v>20</v>
      </c>
      <c r="D61" s="19"/>
      <c r="E61" s="19" t="s">
        <v>21</v>
      </c>
      <c r="F61" s="22"/>
      <c r="G61" s="21" t="s">
        <v>22</v>
      </c>
      <c r="H61" s="119" t="n">
        <v>1</v>
      </c>
      <c r="I61" s="67"/>
      <c r="J61" s="67"/>
      <c r="K61" s="68" t="n">
        <f aca="false">L61+M61</f>
        <v>0</v>
      </c>
      <c r="L61" s="68"/>
      <c r="M61" s="68"/>
      <c r="N61" s="67"/>
      <c r="O61" s="68" t="n">
        <f aca="false">P61+Q61</f>
        <v>0</v>
      </c>
      <c r="P61" s="68"/>
      <c r="Q61" s="69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71"/>
      <c r="G62" s="43" t="s">
        <v>23</v>
      </c>
      <c r="H62" s="124"/>
      <c r="I62" s="64"/>
      <c r="J62" s="64"/>
      <c r="K62" s="65" t="n">
        <f aca="false">L62+M62</f>
        <v>0</v>
      </c>
      <c r="L62" s="65"/>
      <c r="M62" s="65"/>
      <c r="N62" s="64"/>
      <c r="O62" s="65" t="n">
        <f aca="false">P62+Q62</f>
        <v>0</v>
      </c>
      <c r="P62" s="65"/>
      <c r="Q62" s="66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customFormat="false" ht="15.75" hidden="false" customHeight="true" outlineLevel="0" collapsed="false">
      <c r="A63" s="17"/>
      <c r="B63" s="18" t="s">
        <v>223</v>
      </c>
      <c r="C63" s="19"/>
      <c r="D63" s="19"/>
      <c r="E63" s="19"/>
      <c r="F63" s="20"/>
      <c r="G63" s="21" t="s">
        <v>22</v>
      </c>
      <c r="H63" s="125" t="n">
        <v>3</v>
      </c>
      <c r="I63" s="67"/>
      <c r="J63" s="67"/>
      <c r="K63" s="68" t="n">
        <f aca="false">L63+M63</f>
        <v>0</v>
      </c>
      <c r="L63" s="68"/>
      <c r="M63" s="68"/>
      <c r="N63" s="67"/>
      <c r="O63" s="68" t="n">
        <f aca="false">P63+Q63</f>
        <v>0</v>
      </c>
      <c r="P63" s="68"/>
      <c r="Q63" s="69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customFormat="false" ht="15.75" hidden="false" customHeight="true" outlineLevel="0" collapsed="false">
      <c r="A64" s="17"/>
      <c r="B64" s="18"/>
      <c r="C64" s="18"/>
      <c r="D64" s="18"/>
      <c r="E64" s="18"/>
      <c r="F64" s="57"/>
      <c r="G64" s="27" t="s">
        <v>23</v>
      </c>
      <c r="H64" s="86" t="n">
        <v>6</v>
      </c>
      <c r="I64" s="58"/>
      <c r="J64" s="58"/>
      <c r="K64" s="59" t="n">
        <f aca="false">L64+M64</f>
        <v>0</v>
      </c>
      <c r="L64" s="59"/>
      <c r="M64" s="59"/>
      <c r="N64" s="58"/>
      <c r="O64" s="59" t="n">
        <f aca="false">P64+Q64</f>
        <v>0</v>
      </c>
      <c r="P64" s="59"/>
      <c r="Q64" s="60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customFormat="false" ht="15.75" hidden="false" customHeight="true" outlineLevel="0" collapsed="false">
      <c r="A65" s="33"/>
      <c r="B65" s="34" t="s">
        <v>61</v>
      </c>
      <c r="C65" s="35" t="s">
        <v>33</v>
      </c>
      <c r="D65" s="56" t="s">
        <v>62</v>
      </c>
      <c r="E65" s="35" t="s">
        <v>25</v>
      </c>
      <c r="F65" s="36"/>
      <c r="G65" s="37" t="s">
        <v>22</v>
      </c>
      <c r="H65" s="114" t="n">
        <v>3</v>
      </c>
      <c r="I65" s="61" t="n">
        <v>2</v>
      </c>
      <c r="J65" s="61" t="n">
        <v>2</v>
      </c>
      <c r="K65" s="62" t="n">
        <f aca="false">L65+M65</f>
        <v>0</v>
      </c>
      <c r="L65" s="62"/>
      <c r="M65" s="62"/>
      <c r="N65" s="61" t="n">
        <v>2</v>
      </c>
      <c r="O65" s="62" t="n">
        <f aca="false">P65+Q65</f>
        <v>0</v>
      </c>
      <c r="P65" s="62"/>
      <c r="Q65" s="63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customFormat="false" ht="15.75" hidden="false" customHeight="true" outlineLevel="0" collapsed="false">
      <c r="A66" s="33"/>
      <c r="B66" s="34"/>
      <c r="C66" s="34"/>
      <c r="D66" s="56"/>
      <c r="E66" s="35"/>
      <c r="F66" s="42" t="s">
        <v>173</v>
      </c>
      <c r="G66" s="43" t="s">
        <v>26</v>
      </c>
      <c r="H66" s="118" t="n">
        <v>2</v>
      </c>
      <c r="I66" s="64"/>
      <c r="J66" s="64"/>
      <c r="K66" s="65" t="n">
        <f aca="false">L66+M66</f>
        <v>0</v>
      </c>
      <c r="L66" s="65"/>
      <c r="M66" s="65"/>
      <c r="N66" s="64" t="n">
        <v>2</v>
      </c>
      <c r="O66" s="65" t="n">
        <f aca="false">P66+Q66</f>
        <v>0</v>
      </c>
      <c r="P66" s="65"/>
      <c r="Q66" s="66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customFormat="false" ht="15.75" hidden="false" customHeight="true" outlineLevel="0" collapsed="false">
      <c r="A67" s="72"/>
      <c r="B67" s="73" t="s">
        <v>63</v>
      </c>
      <c r="C67" s="74" t="s">
        <v>20</v>
      </c>
      <c r="D67" s="74"/>
      <c r="E67" s="74" t="s">
        <v>25</v>
      </c>
      <c r="F67" s="20"/>
      <c r="G67" s="21" t="s">
        <v>22</v>
      </c>
      <c r="H67" s="119" t="n">
        <v>1</v>
      </c>
      <c r="I67" s="67"/>
      <c r="J67" s="67"/>
      <c r="K67" s="68" t="n">
        <f aca="false">L67+M67</f>
        <v>0</v>
      </c>
      <c r="L67" s="68"/>
      <c r="M67" s="68"/>
      <c r="N67" s="67" t="n">
        <v>3</v>
      </c>
      <c r="O67" s="68" t="n">
        <f aca="false">P67+Q67</f>
        <v>2616.57</v>
      </c>
      <c r="P67" s="68" t="n">
        <v>2616.57</v>
      </c>
      <c r="Q67" s="69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customFormat="false" ht="15.75" hidden="false" customHeight="true" outlineLevel="0" collapsed="false">
      <c r="A68" s="72"/>
      <c r="B68" s="73"/>
      <c r="C68" s="73"/>
      <c r="D68" s="73"/>
      <c r="E68" s="73"/>
      <c r="F68" s="42" t="s">
        <v>174</v>
      </c>
      <c r="G68" s="43" t="s">
        <v>26</v>
      </c>
      <c r="H68" s="115"/>
      <c r="I68" s="64"/>
      <c r="J68" s="64"/>
      <c r="K68" s="65" t="n">
        <f aca="false">L68+M68</f>
        <v>0</v>
      </c>
      <c r="L68" s="65"/>
      <c r="M68" s="65"/>
      <c r="N68" s="64"/>
      <c r="O68" s="65" t="n">
        <f aca="false">P68+Q68</f>
        <v>0</v>
      </c>
      <c r="P68" s="65"/>
      <c r="Q68" s="66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customFormat="false" ht="15" hidden="false" customHeight="true" outlineLevel="0" collapsed="false">
      <c r="A69" s="72"/>
      <c r="B69" s="73" t="s">
        <v>64</v>
      </c>
      <c r="C69" s="74" t="s">
        <v>20</v>
      </c>
      <c r="D69" s="74"/>
      <c r="E69" s="74" t="s">
        <v>25</v>
      </c>
      <c r="F69" s="20"/>
      <c r="G69" s="21" t="s">
        <v>22</v>
      </c>
      <c r="H69" s="116"/>
      <c r="I69" s="67"/>
      <c r="J69" s="67"/>
      <c r="K69" s="68" t="n">
        <f aca="false">L69+M69</f>
        <v>0</v>
      </c>
      <c r="L69" s="68"/>
      <c r="M69" s="68"/>
      <c r="N69" s="67"/>
      <c r="O69" s="68" t="n">
        <f aca="false">P69+Q69</f>
        <v>0</v>
      </c>
      <c r="P69" s="68"/>
      <c r="Q69" s="69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71"/>
      <c r="G70" s="43" t="s">
        <v>26</v>
      </c>
      <c r="H70" s="115"/>
      <c r="I70" s="64"/>
      <c r="J70" s="64"/>
      <c r="K70" s="65" t="n">
        <f aca="false">L70+M70</f>
        <v>0</v>
      </c>
      <c r="L70" s="65"/>
      <c r="M70" s="65"/>
      <c r="N70" s="64"/>
      <c r="O70" s="65" t="n">
        <f aca="false">P70+Q70</f>
        <v>0</v>
      </c>
      <c r="P70" s="65"/>
      <c r="Q70" s="66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customFormat="false" ht="15.75" hidden="false" customHeight="true" outlineLevel="0" collapsed="false">
      <c r="A71" s="17"/>
      <c r="B71" s="18" t="s">
        <v>65</v>
      </c>
      <c r="C71" s="19" t="s">
        <v>33</v>
      </c>
      <c r="D71" s="19" t="s">
        <v>66</v>
      </c>
      <c r="E71" s="19" t="s">
        <v>67</v>
      </c>
      <c r="F71" s="20"/>
      <c r="G71" s="21" t="s">
        <v>22</v>
      </c>
      <c r="H71" s="114" t="n">
        <v>2</v>
      </c>
      <c r="I71" s="67" t="n">
        <v>2</v>
      </c>
      <c r="J71" s="67" t="n">
        <v>2</v>
      </c>
      <c r="K71" s="68" t="n">
        <f aca="false">L71+M71</f>
        <v>704.8</v>
      </c>
      <c r="L71" s="68" t="n">
        <v>704.8</v>
      </c>
      <c r="M71" s="68"/>
      <c r="N71" s="67" t="n">
        <v>7</v>
      </c>
      <c r="O71" s="68" t="n">
        <f aca="false">P71+Q71</f>
        <v>4384.96</v>
      </c>
      <c r="P71" s="68" t="n">
        <v>4384.96</v>
      </c>
      <c r="Q71" s="69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42"/>
      <c r="G72" s="43" t="s">
        <v>23</v>
      </c>
      <c r="H72" s="126" t="n">
        <v>20</v>
      </c>
      <c r="I72" s="64" t="n">
        <v>15</v>
      </c>
      <c r="J72" s="64" t="n">
        <v>15</v>
      </c>
      <c r="K72" s="65" t="n">
        <f aca="false">L72+M72</f>
        <v>0</v>
      </c>
      <c r="L72" s="65"/>
      <c r="M72" s="65"/>
      <c r="N72" s="64"/>
      <c r="O72" s="65" t="n">
        <v>2731.1</v>
      </c>
      <c r="P72" s="65" t="n">
        <v>2731.1</v>
      </c>
      <c r="Q72" s="66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customFormat="false" ht="15" hidden="false" customHeight="true" outlineLevel="0" collapsed="false">
      <c r="A73" s="17"/>
      <c r="B73" s="18" t="s">
        <v>175</v>
      </c>
      <c r="C73" s="19"/>
      <c r="D73" s="19"/>
      <c r="E73" s="19"/>
      <c r="F73" s="137"/>
      <c r="G73" s="21" t="s">
        <v>22</v>
      </c>
      <c r="H73" s="112"/>
      <c r="I73" s="67"/>
      <c r="J73" s="67"/>
      <c r="K73" s="68" t="n">
        <f aca="false">L73+M73</f>
        <v>0</v>
      </c>
      <c r="L73" s="68"/>
      <c r="M73" s="68"/>
      <c r="N73" s="67"/>
      <c r="O73" s="68" t="n">
        <f aca="false">P73+Q73</f>
        <v>0</v>
      </c>
      <c r="P73" s="68"/>
      <c r="Q73" s="69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customFormat="false" ht="15" hidden="false" customHeight="false" outlineLevel="0" collapsed="false">
      <c r="A74" s="17"/>
      <c r="B74" s="18"/>
      <c r="C74" s="18"/>
      <c r="D74" s="18"/>
      <c r="E74" s="18"/>
      <c r="F74" s="138"/>
      <c r="G74" s="27" t="s">
        <v>26</v>
      </c>
      <c r="H74" s="123" t="n">
        <v>2</v>
      </c>
      <c r="I74" s="58"/>
      <c r="J74" s="58"/>
      <c r="K74" s="59" t="n">
        <f aca="false">L74+M74</f>
        <v>0</v>
      </c>
      <c r="L74" s="59"/>
      <c r="M74" s="59"/>
      <c r="N74" s="58"/>
      <c r="O74" s="59" t="n">
        <f aca="false">P74+Q74</f>
        <v>0</v>
      </c>
      <c r="P74" s="59"/>
      <c r="Q74" s="60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customFormat="false" ht="15" hidden="false" customHeight="true" outlineLevel="0" collapsed="false">
      <c r="A75" s="33"/>
      <c r="B75" s="34" t="s">
        <v>68</v>
      </c>
      <c r="C75" s="35" t="s">
        <v>20</v>
      </c>
      <c r="D75" s="35"/>
      <c r="E75" s="35" t="s">
        <v>69</v>
      </c>
      <c r="F75" s="38"/>
      <c r="G75" s="37" t="s">
        <v>22</v>
      </c>
      <c r="H75" s="119" t="n">
        <v>3</v>
      </c>
      <c r="I75" s="61"/>
      <c r="J75" s="61"/>
      <c r="K75" s="62" t="n">
        <f aca="false">L75+M75</f>
        <v>0</v>
      </c>
      <c r="L75" s="62"/>
      <c r="M75" s="62"/>
      <c r="N75" s="61" t="n">
        <v>10</v>
      </c>
      <c r="O75" s="62" t="n">
        <f aca="false">P75+Q75</f>
        <v>3419.21</v>
      </c>
      <c r="P75" s="62" t="n">
        <v>3419.21</v>
      </c>
      <c r="Q75" s="63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customFormat="false" ht="15.75" hidden="false" customHeight="true" outlineLevel="0" collapsed="false">
      <c r="A76" s="33"/>
      <c r="B76" s="34"/>
      <c r="C76" s="34"/>
      <c r="D76" s="34"/>
      <c r="E76" s="34"/>
      <c r="F76" s="42" t="s">
        <v>176</v>
      </c>
      <c r="G76" s="43" t="s">
        <v>26</v>
      </c>
      <c r="H76" s="118" t="n">
        <v>1</v>
      </c>
      <c r="I76" s="64"/>
      <c r="J76" s="64"/>
      <c r="K76" s="65" t="n">
        <f aca="false">L76+M76</f>
        <v>0</v>
      </c>
      <c r="L76" s="65"/>
      <c r="M76" s="65"/>
      <c r="N76" s="64"/>
      <c r="O76" s="65" t="n">
        <f aca="false">P76+Q76</f>
        <v>0</v>
      </c>
      <c r="P76" s="65"/>
      <c r="Q76" s="66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customFormat="false" ht="15.75" hidden="false" customHeight="true" outlineLevel="0" collapsed="false">
      <c r="A77" s="17"/>
      <c r="B77" s="18" t="s">
        <v>70</v>
      </c>
      <c r="C77" s="19" t="s">
        <v>20</v>
      </c>
      <c r="D77" s="19" t="s">
        <v>71</v>
      </c>
      <c r="E77" s="19" t="s">
        <v>25</v>
      </c>
      <c r="F77" s="20"/>
      <c r="G77" s="21" t="s">
        <v>22</v>
      </c>
      <c r="H77" s="116"/>
      <c r="I77" s="67"/>
      <c r="J77" s="67"/>
      <c r="K77" s="68" t="n">
        <f aca="false">L77+M77</f>
        <v>0</v>
      </c>
      <c r="L77" s="68"/>
      <c r="M77" s="68"/>
      <c r="N77" s="67"/>
      <c r="O77" s="68" t="n">
        <f aca="false">P77+Q77</f>
        <v>0</v>
      </c>
      <c r="P77" s="68"/>
      <c r="Q77" s="69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customFormat="false" ht="15.75" hidden="false" customHeight="true" outlineLevel="0" collapsed="false">
      <c r="A78" s="17"/>
      <c r="B78" s="18"/>
      <c r="C78" s="18"/>
      <c r="D78" s="18"/>
      <c r="E78" s="18"/>
      <c r="F78" s="26" t="s">
        <v>177</v>
      </c>
      <c r="G78" s="27" t="s">
        <v>26</v>
      </c>
      <c r="H78" s="118" t="n">
        <v>3</v>
      </c>
      <c r="I78" s="58"/>
      <c r="J78" s="58"/>
      <c r="K78" s="59" t="n">
        <f aca="false">L78+M78</f>
        <v>0</v>
      </c>
      <c r="L78" s="59"/>
      <c r="M78" s="59"/>
      <c r="N78" s="58"/>
      <c r="O78" s="59" t="n">
        <f aca="false">P78+Q78</f>
        <v>0</v>
      </c>
      <c r="P78" s="59"/>
      <c r="Q78" s="60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customFormat="false" ht="15" hidden="false" customHeight="true" outlineLevel="0" collapsed="false">
      <c r="A79" s="33"/>
      <c r="B79" s="34" t="s">
        <v>72</v>
      </c>
      <c r="C79" s="35" t="s">
        <v>20</v>
      </c>
      <c r="D79" s="35"/>
      <c r="E79" s="35" t="s">
        <v>52</v>
      </c>
      <c r="F79" s="36"/>
      <c r="G79" s="21" t="s">
        <v>22</v>
      </c>
      <c r="H79" s="114" t="n">
        <v>1</v>
      </c>
      <c r="I79" s="61"/>
      <c r="J79" s="61"/>
      <c r="K79" s="62" t="n">
        <f aca="false">L79+M79</f>
        <v>0</v>
      </c>
      <c r="L79" s="62"/>
      <c r="M79" s="62"/>
      <c r="N79" s="61"/>
      <c r="O79" s="62" t="n">
        <f aca="false">P79+Q79</f>
        <v>0</v>
      </c>
      <c r="P79" s="62"/>
      <c r="Q79" s="63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customFormat="false" ht="15.75" hidden="false" customHeight="true" outlineLevel="0" collapsed="false">
      <c r="A80" s="33"/>
      <c r="B80" s="34"/>
      <c r="C80" s="34"/>
      <c r="D80" s="34"/>
      <c r="E80" s="34"/>
      <c r="F80" s="42" t="s">
        <v>178</v>
      </c>
      <c r="G80" s="43" t="s">
        <v>26</v>
      </c>
      <c r="H80" s="117" t="n">
        <v>1</v>
      </c>
      <c r="I80" s="64"/>
      <c r="J80" s="64"/>
      <c r="K80" s="65" t="n">
        <v>881</v>
      </c>
      <c r="L80" s="65" t="n">
        <v>881</v>
      </c>
      <c r="M80" s="65"/>
      <c r="N80" s="64" t="n">
        <v>3</v>
      </c>
      <c r="O80" s="65" t="n">
        <f aca="false">P80+Q80</f>
        <v>0</v>
      </c>
      <c r="P80" s="65"/>
      <c r="Q80" s="66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customFormat="false" ht="15" hidden="false" customHeight="true" outlineLevel="0" collapsed="false">
      <c r="A81" s="17"/>
      <c r="B81" s="18" t="s">
        <v>73</v>
      </c>
      <c r="C81" s="19" t="s">
        <v>20</v>
      </c>
      <c r="D81" s="19"/>
      <c r="E81" s="19" t="s">
        <v>52</v>
      </c>
      <c r="F81" s="20"/>
      <c r="G81" s="21" t="s">
        <v>22</v>
      </c>
      <c r="H81" s="114" t="n">
        <v>3</v>
      </c>
      <c r="I81" s="67" t="n">
        <v>1</v>
      </c>
      <c r="J81" s="67" t="n">
        <v>1</v>
      </c>
      <c r="K81" s="68" t="n">
        <f aca="false">L81+M81</f>
        <v>1395.5</v>
      </c>
      <c r="L81" s="68" t="n">
        <v>1395.5</v>
      </c>
      <c r="M81" s="68"/>
      <c r="N81" s="67" t="n">
        <v>2</v>
      </c>
      <c r="O81" s="68" t="n">
        <f aca="false">P81+Q81</f>
        <v>3239.04</v>
      </c>
      <c r="P81" s="68" t="n">
        <v>3239.04</v>
      </c>
      <c r="Q81" s="69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179</v>
      </c>
      <c r="G82" s="27" t="s">
        <v>26</v>
      </c>
      <c r="H82" s="118" t="n">
        <v>2</v>
      </c>
      <c r="I82" s="58" t="n">
        <v>2</v>
      </c>
      <c r="J82" s="58" t="n">
        <v>2</v>
      </c>
      <c r="K82" s="59" t="n">
        <f aca="false">L82+M82</f>
        <v>0</v>
      </c>
      <c r="L82" s="59"/>
      <c r="M82" s="59"/>
      <c r="N82" s="58" t="n">
        <v>1</v>
      </c>
      <c r="O82" s="59" t="n">
        <f aca="false">P82+Q82</f>
        <v>0</v>
      </c>
      <c r="P82" s="59"/>
      <c r="Q82" s="60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customFormat="false" ht="15.75" hidden="false" customHeight="true" outlineLevel="0" collapsed="false">
      <c r="A83" s="33"/>
      <c r="B83" s="34" t="s">
        <v>74</v>
      </c>
      <c r="C83" s="35" t="s">
        <v>33</v>
      </c>
      <c r="D83" s="35" t="s">
        <v>75</v>
      </c>
      <c r="E83" s="35" t="s">
        <v>25</v>
      </c>
      <c r="F83" s="36"/>
      <c r="G83" s="21" t="s">
        <v>22</v>
      </c>
      <c r="H83" s="114" t="n">
        <v>13</v>
      </c>
      <c r="I83" s="61" t="n">
        <v>8</v>
      </c>
      <c r="J83" s="61" t="n">
        <v>8</v>
      </c>
      <c r="K83" s="62" t="n">
        <f aca="false">L83+M83</f>
        <v>0</v>
      </c>
      <c r="L83" s="62"/>
      <c r="M83" s="62"/>
      <c r="N83" s="61" t="n">
        <v>16</v>
      </c>
      <c r="O83" s="62" t="n">
        <f aca="false">P83+Q83</f>
        <v>0</v>
      </c>
      <c r="P83" s="62"/>
      <c r="Q83" s="63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customFormat="false" ht="15.75" hidden="false" customHeight="true" outlineLevel="0" collapsed="false">
      <c r="A84" s="33"/>
      <c r="B84" s="34"/>
      <c r="C84" s="34"/>
      <c r="D84" s="34"/>
      <c r="E84" s="34"/>
      <c r="F84" s="42"/>
      <c r="G84" s="43" t="s">
        <v>26</v>
      </c>
      <c r="H84" s="115"/>
      <c r="I84" s="64"/>
      <c r="J84" s="64"/>
      <c r="K84" s="65" t="n">
        <f aca="false">L84+M84</f>
        <v>0</v>
      </c>
      <c r="L84" s="65"/>
      <c r="M84" s="65"/>
      <c r="N84" s="64" t="n">
        <v>3</v>
      </c>
      <c r="O84" s="65" t="n">
        <f aca="false">P84+Q84</f>
        <v>0</v>
      </c>
      <c r="P84" s="65"/>
      <c r="Q84" s="66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customFormat="false" ht="15" hidden="false" customHeight="true" outlineLevel="0" collapsed="false">
      <c r="A85" s="72"/>
      <c r="B85" s="73" t="s">
        <v>76</v>
      </c>
      <c r="C85" s="74" t="s">
        <v>20</v>
      </c>
      <c r="D85" s="74" t="s">
        <v>180</v>
      </c>
      <c r="E85" s="74" t="s">
        <v>25</v>
      </c>
      <c r="F85" s="20"/>
      <c r="G85" s="21" t="s">
        <v>22</v>
      </c>
      <c r="H85" s="114" t="n">
        <v>7</v>
      </c>
      <c r="I85" s="67" t="n">
        <v>7</v>
      </c>
      <c r="J85" s="67" t="n">
        <v>7</v>
      </c>
      <c r="K85" s="68" t="n">
        <f aca="false">L85+M85</f>
        <v>0</v>
      </c>
      <c r="L85" s="68"/>
      <c r="M85" s="68"/>
      <c r="N85" s="67" t="n">
        <v>1</v>
      </c>
      <c r="O85" s="68" t="n">
        <f aca="false">P85+Q85</f>
        <v>0</v>
      </c>
      <c r="P85" s="68"/>
      <c r="Q85" s="69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181</v>
      </c>
      <c r="G86" s="43" t="s">
        <v>26</v>
      </c>
      <c r="H86" s="117" t="n">
        <v>3</v>
      </c>
      <c r="I86" s="64"/>
      <c r="J86" s="64"/>
      <c r="K86" s="65" t="n">
        <f aca="false">L86+M86</f>
        <v>0</v>
      </c>
      <c r="L86" s="65"/>
      <c r="M86" s="65"/>
      <c r="N86" s="64" t="n">
        <v>4</v>
      </c>
      <c r="O86" s="65" t="n">
        <f aca="false">P86+Q86</f>
        <v>0</v>
      </c>
      <c r="P86" s="65"/>
      <c r="Q86" s="66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customFormat="false" ht="15" hidden="false" customHeight="true" outlineLevel="0" collapsed="false">
      <c r="A87" s="17"/>
      <c r="B87" s="18" t="s">
        <v>77</v>
      </c>
      <c r="C87" s="19" t="s">
        <v>38</v>
      </c>
      <c r="D87" s="19" t="s">
        <v>78</v>
      </c>
      <c r="E87" s="19" t="s">
        <v>25</v>
      </c>
      <c r="F87" s="22"/>
      <c r="G87" s="21" t="s">
        <v>22</v>
      </c>
      <c r="H87" s="119" t="n">
        <v>5</v>
      </c>
      <c r="I87" s="67" t="n">
        <v>5</v>
      </c>
      <c r="J87" s="67" t="n">
        <v>5</v>
      </c>
      <c r="K87" s="68" t="n">
        <f aca="false">L87+M87</f>
        <v>0</v>
      </c>
      <c r="L87" s="68"/>
      <c r="M87" s="68"/>
      <c r="N87" s="67" t="n">
        <v>1</v>
      </c>
      <c r="O87" s="68" t="n">
        <f aca="false">P87+Q87</f>
        <v>0</v>
      </c>
      <c r="P87" s="68"/>
      <c r="Q87" s="69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80" t="s">
        <v>182</v>
      </c>
      <c r="G88" s="81" t="s">
        <v>26</v>
      </c>
      <c r="H88" s="114" t="n">
        <v>2</v>
      </c>
      <c r="I88" s="82"/>
      <c r="J88" s="82"/>
      <c r="K88" s="83" t="n">
        <f aca="false">L88+M88</f>
        <v>0</v>
      </c>
      <c r="L88" s="83"/>
      <c r="M88" s="83"/>
      <c r="N88" s="82" t="n">
        <v>4</v>
      </c>
      <c r="O88" s="83" t="n">
        <f aca="false">P88+Q88</f>
        <v>0</v>
      </c>
      <c r="P88" s="83"/>
      <c r="Q88" s="84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customFormat="false" ht="15" hidden="false" customHeight="false" outlineLevel="0" collapsed="false">
      <c r="A89" s="17"/>
      <c r="B89" s="18"/>
      <c r="C89" s="18"/>
      <c r="D89" s="18"/>
      <c r="E89" s="18"/>
      <c r="F89" s="85"/>
      <c r="G89" s="86" t="s">
        <v>23</v>
      </c>
      <c r="H89" s="120" t="n">
        <v>1</v>
      </c>
      <c r="I89" s="58" t="n">
        <v>1</v>
      </c>
      <c r="J89" s="58" t="n">
        <v>1</v>
      </c>
      <c r="K89" s="59" t="n">
        <f aca="false">L89+M89</f>
        <v>0</v>
      </c>
      <c r="L89" s="59"/>
      <c r="M89" s="59"/>
      <c r="N89" s="58" t="n">
        <v>2</v>
      </c>
      <c r="O89" s="59" t="n">
        <f aca="false">P89+Q89</f>
        <v>0</v>
      </c>
      <c r="P89" s="59"/>
      <c r="Q89" s="60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customFormat="false" ht="15" hidden="false" customHeight="true" outlineLevel="0" collapsed="false">
      <c r="A90" s="33"/>
      <c r="B90" s="34" t="s">
        <v>79</v>
      </c>
      <c r="C90" s="35" t="s">
        <v>20</v>
      </c>
      <c r="D90" s="35"/>
      <c r="E90" s="35" t="s">
        <v>52</v>
      </c>
      <c r="F90" s="38"/>
      <c r="G90" s="21" t="s">
        <v>22</v>
      </c>
      <c r="H90" s="114" t="n">
        <v>3</v>
      </c>
      <c r="I90" s="61" t="n">
        <v>1</v>
      </c>
      <c r="J90" s="61" t="n">
        <v>2</v>
      </c>
      <c r="K90" s="62" t="n">
        <f aca="false">L90+M90</f>
        <v>0</v>
      </c>
      <c r="L90" s="62"/>
      <c r="M90" s="62"/>
      <c r="N90" s="61" t="n">
        <v>1</v>
      </c>
      <c r="O90" s="62" t="n">
        <f aca="false">P90+Q90</f>
        <v>0</v>
      </c>
      <c r="P90" s="62"/>
      <c r="Q90" s="63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42"/>
      <c r="G91" s="43" t="s">
        <v>26</v>
      </c>
      <c r="H91" s="115"/>
      <c r="I91" s="64"/>
      <c r="J91" s="64"/>
      <c r="K91" s="65" t="n">
        <f aca="false">L91+M91</f>
        <v>0</v>
      </c>
      <c r="L91" s="65"/>
      <c r="M91" s="65"/>
      <c r="N91" s="64"/>
      <c r="O91" s="65" t="n">
        <f aca="false">P91+Q91</f>
        <v>0</v>
      </c>
      <c r="P91" s="65"/>
      <c r="Q91" s="66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customFormat="false" ht="15" hidden="false" customHeight="true" outlineLevel="0" collapsed="false">
      <c r="A92" s="72"/>
      <c r="B92" s="73" t="s">
        <v>80</v>
      </c>
      <c r="C92" s="74" t="s">
        <v>20</v>
      </c>
      <c r="D92" s="74"/>
      <c r="E92" s="74" t="s">
        <v>81</v>
      </c>
      <c r="F92" s="20"/>
      <c r="G92" s="21" t="s">
        <v>22</v>
      </c>
      <c r="H92" s="114" t="n">
        <v>2</v>
      </c>
      <c r="I92" s="67" t="n">
        <v>1</v>
      </c>
      <c r="J92" s="67" t="n">
        <v>1</v>
      </c>
      <c r="K92" s="68" t="n">
        <f aca="false">L92+M92</f>
        <v>3473.61</v>
      </c>
      <c r="L92" s="68" t="n">
        <v>3473.61</v>
      </c>
      <c r="M92" s="68"/>
      <c r="N92" s="67"/>
      <c r="O92" s="68" t="n">
        <f aca="false">P92+Q92</f>
        <v>0</v>
      </c>
      <c r="P92" s="68"/>
      <c r="Q92" s="69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customFormat="false" ht="15.75" hidden="false" customHeight="true" outlineLevel="0" collapsed="false">
      <c r="A93" s="72"/>
      <c r="B93" s="73"/>
      <c r="C93" s="73"/>
      <c r="D93" s="73"/>
      <c r="E93" s="73"/>
      <c r="F93" s="42" t="s">
        <v>183</v>
      </c>
      <c r="G93" s="43" t="s">
        <v>26</v>
      </c>
      <c r="H93" s="115"/>
      <c r="I93" s="64"/>
      <c r="J93" s="64"/>
      <c r="K93" s="65" t="n">
        <f aca="false">L93+M93</f>
        <v>0</v>
      </c>
      <c r="L93" s="65"/>
      <c r="M93" s="65"/>
      <c r="N93" s="64"/>
      <c r="O93" s="65" t="n">
        <f aca="false">P93+Q93</f>
        <v>0</v>
      </c>
      <c r="P93" s="65"/>
      <c r="Q93" s="66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customFormat="false" ht="15" hidden="false" customHeight="true" outlineLevel="0" collapsed="false">
      <c r="A94" s="17"/>
      <c r="B94" s="18" t="s">
        <v>82</v>
      </c>
      <c r="C94" s="19" t="s">
        <v>20</v>
      </c>
      <c r="D94" s="19" t="s">
        <v>184</v>
      </c>
      <c r="E94" s="19" t="s">
        <v>25</v>
      </c>
      <c r="F94" s="22"/>
      <c r="G94" s="21" t="s">
        <v>22</v>
      </c>
      <c r="H94" s="114" t="n">
        <v>14</v>
      </c>
      <c r="I94" s="67" t="n">
        <v>9</v>
      </c>
      <c r="J94" s="67" t="n">
        <v>9</v>
      </c>
      <c r="K94" s="68" t="n">
        <f aca="false">L94+M94</f>
        <v>0</v>
      </c>
      <c r="L94" s="68"/>
      <c r="M94" s="68"/>
      <c r="N94" s="67" t="n">
        <v>2</v>
      </c>
      <c r="O94" s="68" t="n">
        <f aca="false">P94+Q94</f>
        <v>0</v>
      </c>
      <c r="P94" s="68"/>
      <c r="Q94" s="69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customFormat="false" ht="15.75" hidden="false" customHeight="true" outlineLevel="0" collapsed="false">
      <c r="A95" s="17"/>
      <c r="B95" s="18"/>
      <c r="C95" s="18"/>
      <c r="D95" s="18"/>
      <c r="E95" s="18"/>
      <c r="F95" s="26" t="s">
        <v>185</v>
      </c>
      <c r="G95" s="27" t="s">
        <v>26</v>
      </c>
      <c r="H95" s="118" t="n">
        <v>1</v>
      </c>
      <c r="I95" s="58"/>
      <c r="J95" s="58"/>
      <c r="K95" s="59" t="n">
        <f aca="false">L95+M95</f>
        <v>0</v>
      </c>
      <c r="L95" s="59"/>
      <c r="M95" s="59"/>
      <c r="N95" s="58" t="n">
        <v>1</v>
      </c>
      <c r="O95" s="59" t="n">
        <f aca="false">P95+Q95</f>
        <v>0</v>
      </c>
      <c r="P95" s="59"/>
      <c r="Q95" s="60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customFormat="false" ht="15" hidden="false" customHeight="true" outlineLevel="0" collapsed="false">
      <c r="A96" s="17"/>
      <c r="B96" s="18" t="s">
        <v>83</v>
      </c>
      <c r="C96" s="19" t="s">
        <v>20</v>
      </c>
      <c r="D96" s="19"/>
      <c r="E96" s="19" t="s">
        <v>25</v>
      </c>
      <c r="F96" s="20"/>
      <c r="G96" s="21" t="s">
        <v>22</v>
      </c>
      <c r="H96" s="114" t="n">
        <v>2</v>
      </c>
      <c r="I96" s="67" t="n">
        <v>1</v>
      </c>
      <c r="J96" s="67" t="n">
        <v>1</v>
      </c>
      <c r="K96" s="68" t="n">
        <f aca="false">L96+M96</f>
        <v>0</v>
      </c>
      <c r="L96" s="68"/>
      <c r="M96" s="68"/>
      <c r="N96" s="67" t="n">
        <v>1</v>
      </c>
      <c r="O96" s="68" t="n">
        <f aca="false">P96+Q96</f>
        <v>0</v>
      </c>
      <c r="P96" s="68"/>
      <c r="Q96" s="69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customFormat="false" ht="15.75" hidden="false" customHeight="true" outlineLevel="0" collapsed="false">
      <c r="A97" s="17"/>
      <c r="B97" s="18"/>
      <c r="C97" s="18"/>
      <c r="D97" s="18"/>
      <c r="E97" s="18"/>
      <c r="F97" s="26" t="s">
        <v>186</v>
      </c>
      <c r="G97" s="27" t="s">
        <v>26</v>
      </c>
      <c r="H97" s="118" t="n">
        <v>3</v>
      </c>
      <c r="I97" s="58"/>
      <c r="J97" s="58"/>
      <c r="K97" s="59" t="n">
        <f aca="false">L97+M97</f>
        <v>0</v>
      </c>
      <c r="L97" s="59"/>
      <c r="M97" s="59"/>
      <c r="N97" s="58"/>
      <c r="O97" s="59" t="n">
        <f aca="false">P97+Q97</f>
        <v>0</v>
      </c>
      <c r="P97" s="59"/>
      <c r="Q97" s="60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customFormat="false" ht="15" hidden="false" customHeight="true" outlineLevel="0" collapsed="false">
      <c r="A98" s="33"/>
      <c r="B98" s="34" t="s">
        <v>84</v>
      </c>
      <c r="C98" s="35" t="s">
        <v>20</v>
      </c>
      <c r="D98" s="35"/>
      <c r="E98" s="35" t="s">
        <v>52</v>
      </c>
      <c r="F98" s="36"/>
      <c r="G98" s="21" t="s">
        <v>22</v>
      </c>
      <c r="H98" s="114" t="n">
        <v>8</v>
      </c>
      <c r="I98" s="61" t="n">
        <v>1</v>
      </c>
      <c r="J98" s="61" t="n">
        <v>1</v>
      </c>
      <c r="K98" s="62" t="n">
        <f aca="false">L98+M98</f>
        <v>0</v>
      </c>
      <c r="L98" s="62"/>
      <c r="M98" s="62"/>
      <c r="N98" s="61" t="n">
        <v>6</v>
      </c>
      <c r="O98" s="62" t="n">
        <f aca="false">P98+Q98</f>
        <v>0</v>
      </c>
      <c r="P98" s="62"/>
      <c r="Q98" s="63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customFormat="false" ht="15.75" hidden="false" customHeight="true" outlineLevel="0" collapsed="false">
      <c r="A99" s="33"/>
      <c r="B99" s="34"/>
      <c r="C99" s="34"/>
      <c r="D99" s="34"/>
      <c r="E99" s="34"/>
      <c r="F99" s="71"/>
      <c r="G99" s="43" t="s">
        <v>26</v>
      </c>
      <c r="H99" s="115"/>
      <c r="I99" s="64"/>
      <c r="J99" s="64"/>
      <c r="K99" s="65" t="n">
        <f aca="false">L99+M99</f>
        <v>0</v>
      </c>
      <c r="L99" s="65"/>
      <c r="M99" s="65"/>
      <c r="N99" s="64"/>
      <c r="O99" s="65" t="n">
        <f aca="false">P99+Q99</f>
        <v>0</v>
      </c>
      <c r="P99" s="65"/>
      <c r="Q99" s="66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customFormat="false" ht="15" hidden="false" customHeight="true" outlineLevel="0" collapsed="false">
      <c r="A100" s="17"/>
      <c r="B100" s="18" t="s">
        <v>85</v>
      </c>
      <c r="C100" s="19" t="s">
        <v>20</v>
      </c>
      <c r="D100" s="19"/>
      <c r="E100" s="19" t="s">
        <v>25</v>
      </c>
      <c r="F100" s="87"/>
      <c r="G100" s="21" t="s">
        <v>22</v>
      </c>
      <c r="H100" s="119" t="n">
        <v>1</v>
      </c>
      <c r="I100" s="67"/>
      <c r="J100" s="67"/>
      <c r="K100" s="68" t="n">
        <f aca="false">L100+M100</f>
        <v>0</v>
      </c>
      <c r="L100" s="68"/>
      <c r="M100" s="68"/>
      <c r="N100" s="67"/>
      <c r="O100" s="68" t="n">
        <f aca="false">P100+Q100</f>
        <v>0</v>
      </c>
      <c r="P100" s="68"/>
      <c r="Q100" s="69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customFormat="false" ht="15.75" hidden="false" customHeight="true" outlineLevel="0" collapsed="false">
      <c r="A101" s="17"/>
      <c r="B101" s="18"/>
      <c r="C101" s="18"/>
      <c r="D101" s="18"/>
      <c r="E101" s="18"/>
      <c r="F101" s="88"/>
      <c r="G101" s="27" t="s">
        <v>26</v>
      </c>
      <c r="H101" s="118"/>
      <c r="I101" s="58"/>
      <c r="J101" s="58"/>
      <c r="K101" s="59" t="n">
        <f aca="false">L101+M101</f>
        <v>0</v>
      </c>
      <c r="L101" s="59"/>
      <c r="M101" s="59"/>
      <c r="N101" s="58"/>
      <c r="O101" s="59" t="n">
        <f aca="false">P101+Q101</f>
        <v>0</v>
      </c>
      <c r="P101" s="59"/>
      <c r="Q101" s="60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customFormat="false" ht="15.75" hidden="false" customHeight="true" outlineLevel="0" collapsed="false">
      <c r="A102" s="17"/>
      <c r="B102" s="73" t="s">
        <v>86</v>
      </c>
      <c r="C102" s="74" t="s">
        <v>33</v>
      </c>
      <c r="D102" s="74" t="s">
        <v>87</v>
      </c>
      <c r="E102" s="74" t="s">
        <v>88</v>
      </c>
      <c r="F102" s="20"/>
      <c r="G102" s="21" t="s">
        <v>22</v>
      </c>
      <c r="H102" s="119" t="n">
        <v>11</v>
      </c>
      <c r="I102" s="67" t="n">
        <v>7</v>
      </c>
      <c r="J102" s="67" t="n">
        <v>7</v>
      </c>
      <c r="K102" s="68" t="n">
        <f aca="false">L102+M102</f>
        <v>0</v>
      </c>
      <c r="L102" s="68"/>
      <c r="M102" s="68"/>
      <c r="N102" s="67" t="n">
        <v>5</v>
      </c>
      <c r="O102" s="68" t="n">
        <f aca="false">P102+Q102</f>
        <v>0</v>
      </c>
      <c r="P102" s="68"/>
      <c r="Q102" s="69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customFormat="false" ht="15.75" hidden="false" customHeight="true" outlineLevel="0" collapsed="false">
      <c r="A103" s="17"/>
      <c r="B103" s="73"/>
      <c r="C103" s="73"/>
      <c r="D103" s="73"/>
      <c r="E103" s="73"/>
      <c r="F103" s="42"/>
      <c r="G103" s="43" t="s">
        <v>23</v>
      </c>
      <c r="H103" s="117" t="n">
        <v>9</v>
      </c>
      <c r="I103" s="64" t="n">
        <v>5</v>
      </c>
      <c r="J103" s="64" t="n">
        <v>5</v>
      </c>
      <c r="K103" s="65" t="n">
        <f aca="false">L103+M103</f>
        <v>0</v>
      </c>
      <c r="L103" s="65"/>
      <c r="M103" s="65"/>
      <c r="N103" s="64"/>
      <c r="O103" s="65" t="n">
        <v>440.5</v>
      </c>
      <c r="P103" s="65" t="n">
        <v>440.5</v>
      </c>
      <c r="Q103" s="66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customFormat="false" ht="15" hidden="false" customHeight="true" outlineLevel="0" collapsed="false">
      <c r="A104" s="17"/>
      <c r="B104" s="18" t="s">
        <v>89</v>
      </c>
      <c r="C104" s="19" t="s">
        <v>20</v>
      </c>
      <c r="D104" s="19" t="s">
        <v>90</v>
      </c>
      <c r="E104" s="19" t="s">
        <v>42</v>
      </c>
      <c r="F104" s="20"/>
      <c r="G104" s="21" t="s">
        <v>22</v>
      </c>
      <c r="H104" s="114" t="n">
        <v>12</v>
      </c>
      <c r="I104" s="67" t="n">
        <v>2</v>
      </c>
      <c r="J104" s="67" t="n">
        <v>2</v>
      </c>
      <c r="K104" s="68" t="n">
        <f aca="false">L104+M104</f>
        <v>0</v>
      </c>
      <c r="L104" s="68"/>
      <c r="M104" s="68"/>
      <c r="N104" s="67" t="n">
        <v>5</v>
      </c>
      <c r="O104" s="68" t="n">
        <f aca="false">P104+Q104</f>
        <v>14024.79</v>
      </c>
      <c r="P104" s="68" t="n">
        <v>14024.79</v>
      </c>
      <c r="Q104" s="69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26"/>
      <c r="G105" s="27" t="s">
        <v>23</v>
      </c>
      <c r="H105" s="115"/>
      <c r="I105" s="58"/>
      <c r="J105" s="58"/>
      <c r="K105" s="59" t="n">
        <f aca="false">L105+M105</f>
        <v>0</v>
      </c>
      <c r="L105" s="59"/>
      <c r="M105" s="59"/>
      <c r="N105" s="58"/>
      <c r="O105" s="59" t="n">
        <f aca="false">P105+Q105</f>
        <v>0</v>
      </c>
      <c r="P105" s="59"/>
      <c r="Q105" s="60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customFormat="false" ht="15.75" hidden="false" customHeight="true" outlineLevel="0" collapsed="false">
      <c r="A106" s="33"/>
      <c r="B106" s="34" t="s">
        <v>91</v>
      </c>
      <c r="C106" s="35" t="s">
        <v>33</v>
      </c>
      <c r="D106" s="35" t="s">
        <v>92</v>
      </c>
      <c r="E106" s="35" t="s">
        <v>25</v>
      </c>
      <c r="F106" s="36"/>
      <c r="G106" s="21" t="s">
        <v>22</v>
      </c>
      <c r="H106" s="114" t="n">
        <v>10</v>
      </c>
      <c r="I106" s="61" t="n">
        <v>1</v>
      </c>
      <c r="J106" s="61" t="n">
        <v>1</v>
      </c>
      <c r="K106" s="62" t="n">
        <f aca="false">L106+M106</f>
        <v>0</v>
      </c>
      <c r="L106" s="62"/>
      <c r="M106" s="62"/>
      <c r="N106" s="61" t="n">
        <v>1</v>
      </c>
      <c r="O106" s="62" t="n">
        <f aca="false">P106+Q106</f>
        <v>0</v>
      </c>
      <c r="P106" s="62"/>
      <c r="Q106" s="63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89"/>
      <c r="G107" s="90" t="s">
        <v>23</v>
      </c>
      <c r="H107" s="116"/>
      <c r="I107" s="91"/>
      <c r="J107" s="91"/>
      <c r="K107" s="92" t="n">
        <f aca="false">L107+M107</f>
        <v>0</v>
      </c>
      <c r="L107" s="92"/>
      <c r="M107" s="92"/>
      <c r="N107" s="91"/>
      <c r="O107" s="92" t="n">
        <f aca="false">P107+Q107</f>
        <v>0</v>
      </c>
      <c r="P107" s="92"/>
      <c r="Q107" s="93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customFormat="false" ht="15.75" hidden="false" customHeight="true" outlineLevel="0" collapsed="false">
      <c r="A108" s="33"/>
      <c r="B108" s="34"/>
      <c r="C108" s="34"/>
      <c r="D108" s="34"/>
      <c r="E108" s="34"/>
      <c r="F108" s="42" t="s">
        <v>187</v>
      </c>
      <c r="G108" s="43" t="s">
        <v>26</v>
      </c>
      <c r="H108" s="117" t="n">
        <v>4</v>
      </c>
      <c r="I108" s="64" t="n">
        <v>1</v>
      </c>
      <c r="J108" s="64" t="n">
        <v>1</v>
      </c>
      <c r="K108" s="65" t="n">
        <f aca="false">L108+M108</f>
        <v>0</v>
      </c>
      <c r="L108" s="65"/>
      <c r="M108" s="65"/>
      <c r="N108" s="64" t="n">
        <v>2</v>
      </c>
      <c r="O108" s="65" t="n">
        <f aca="false">P108+Q108</f>
        <v>0</v>
      </c>
      <c r="P108" s="65"/>
      <c r="Q108" s="66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customFormat="false" ht="15.75" hidden="false" customHeight="true" outlineLevel="0" collapsed="false">
      <c r="A109" s="17"/>
      <c r="B109" s="18" t="s">
        <v>93</v>
      </c>
      <c r="C109" s="19" t="s">
        <v>20</v>
      </c>
      <c r="D109" s="49"/>
      <c r="E109" s="19" t="s">
        <v>50</v>
      </c>
      <c r="F109" s="87"/>
      <c r="G109" s="21" t="s">
        <v>22</v>
      </c>
      <c r="H109" s="119" t="n">
        <v>2</v>
      </c>
      <c r="I109" s="67"/>
      <c r="J109" s="67"/>
      <c r="K109" s="68" t="n">
        <f aca="false">L109+M109</f>
        <v>0</v>
      </c>
      <c r="L109" s="68"/>
      <c r="M109" s="68"/>
      <c r="N109" s="67"/>
      <c r="O109" s="68" t="n">
        <f aca="false">P109+Q109</f>
        <v>0</v>
      </c>
      <c r="P109" s="68"/>
      <c r="Q109" s="69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customFormat="false" ht="15.75" hidden="false" customHeight="true" outlineLevel="0" collapsed="false">
      <c r="A110" s="17"/>
      <c r="B110" s="18"/>
      <c r="C110" s="18"/>
      <c r="D110" s="18"/>
      <c r="E110" s="18"/>
      <c r="F110" s="88" t="s">
        <v>188</v>
      </c>
      <c r="G110" s="27" t="s">
        <v>26</v>
      </c>
      <c r="H110" s="117" t="n">
        <v>4</v>
      </c>
      <c r="I110" s="58"/>
      <c r="J110" s="58"/>
      <c r="K110" s="59" t="n">
        <f aca="false">L110+M110</f>
        <v>0</v>
      </c>
      <c r="L110" s="59"/>
      <c r="M110" s="59"/>
      <c r="N110" s="58"/>
      <c r="O110" s="59" t="n">
        <f aca="false">P110+Q110</f>
        <v>0</v>
      </c>
      <c r="P110" s="59"/>
      <c r="Q110" s="60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customFormat="false" ht="15" hidden="false" customHeight="true" outlineLevel="0" collapsed="false">
      <c r="A111" s="54"/>
      <c r="B111" s="55" t="s">
        <v>94</v>
      </c>
      <c r="C111" s="56" t="s">
        <v>20</v>
      </c>
      <c r="D111" s="56"/>
      <c r="E111" s="56" t="s">
        <v>52</v>
      </c>
      <c r="F111" s="36"/>
      <c r="G111" s="37" t="s">
        <v>22</v>
      </c>
      <c r="H111" s="114" t="n">
        <v>6</v>
      </c>
      <c r="I111" s="61" t="n">
        <v>2</v>
      </c>
      <c r="J111" s="61" t="n">
        <v>2</v>
      </c>
      <c r="K111" s="62" t="n">
        <f aca="false">L111+M111</f>
        <v>563.84</v>
      </c>
      <c r="L111" s="62" t="n">
        <v>563.84</v>
      </c>
      <c r="M111" s="62"/>
      <c r="N111" s="61" t="n">
        <v>2</v>
      </c>
      <c r="O111" s="62" t="n">
        <f aca="false">P111+Q111</f>
        <v>3894.06</v>
      </c>
      <c r="P111" s="62" t="n">
        <v>3894.06</v>
      </c>
      <c r="Q111" s="63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customFormat="false" ht="15.75" hidden="false" customHeight="true" outlineLevel="0" collapsed="false">
      <c r="A112" s="54"/>
      <c r="B112" s="55"/>
      <c r="C112" s="55"/>
      <c r="D112" s="55"/>
      <c r="E112" s="55"/>
      <c r="F112" s="42" t="s">
        <v>189</v>
      </c>
      <c r="G112" s="43" t="s">
        <v>26</v>
      </c>
      <c r="H112" s="117" t="n">
        <v>6</v>
      </c>
      <c r="I112" s="58"/>
      <c r="J112" s="58"/>
      <c r="K112" s="59" t="n">
        <f aca="false">L112+M112</f>
        <v>0</v>
      </c>
      <c r="L112" s="59"/>
      <c r="M112" s="59"/>
      <c r="N112" s="58" t="n">
        <v>1</v>
      </c>
      <c r="O112" s="59" t="n">
        <f aca="false">P112+Q112</f>
        <v>0</v>
      </c>
      <c r="P112" s="59"/>
      <c r="Q112" s="60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customFormat="false" ht="15.75" hidden="false" customHeight="true" outlineLevel="0" collapsed="false">
      <c r="A113" s="33"/>
      <c r="B113" s="34" t="s">
        <v>95</v>
      </c>
      <c r="C113" s="35" t="s">
        <v>33</v>
      </c>
      <c r="D113" s="35" t="s">
        <v>96</v>
      </c>
      <c r="E113" s="35" t="s">
        <v>88</v>
      </c>
      <c r="F113" s="22"/>
      <c r="G113" s="21" t="s">
        <v>22</v>
      </c>
      <c r="H113" s="114" t="n">
        <v>13</v>
      </c>
      <c r="I113" s="61" t="n">
        <v>4</v>
      </c>
      <c r="J113" s="38" t="n">
        <v>4</v>
      </c>
      <c r="K113" s="62" t="n">
        <f aca="false">L113+M113</f>
        <v>4875.45</v>
      </c>
      <c r="L113" s="62" t="n">
        <v>4875.45</v>
      </c>
      <c r="M113" s="62"/>
      <c r="N113" s="61"/>
      <c r="O113" s="62" t="n">
        <f aca="false">P113+Q113</f>
        <v>0</v>
      </c>
      <c r="P113" s="62"/>
      <c r="Q113" s="63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customFormat="false" ht="15.75" hidden="false" customHeight="true" outlineLevel="0" collapsed="false">
      <c r="A114" s="33"/>
      <c r="B114" s="34"/>
      <c r="C114" s="34"/>
      <c r="D114" s="34"/>
      <c r="E114" s="34"/>
      <c r="F114" s="42"/>
      <c r="G114" s="43" t="s">
        <v>23</v>
      </c>
      <c r="H114" s="117" t="n">
        <v>5</v>
      </c>
      <c r="I114" s="64"/>
      <c r="J114" s="64"/>
      <c r="K114" s="65" t="n">
        <f aca="false">L114+M114</f>
        <v>0</v>
      </c>
      <c r="L114" s="65"/>
      <c r="M114" s="65"/>
      <c r="N114" s="64"/>
      <c r="O114" s="65" t="n">
        <f aca="false">P114+Q114</f>
        <v>0</v>
      </c>
      <c r="P114" s="65"/>
      <c r="Q114" s="66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customFormat="false" ht="15.75" hidden="false" customHeight="true" outlineLevel="0" collapsed="false">
      <c r="A115" s="72"/>
      <c r="B115" s="73" t="s">
        <v>97</v>
      </c>
      <c r="C115" s="74" t="s">
        <v>20</v>
      </c>
      <c r="D115" s="74"/>
      <c r="E115" s="74" t="s">
        <v>98</v>
      </c>
      <c r="F115" s="20"/>
      <c r="G115" s="21" t="s">
        <v>22</v>
      </c>
      <c r="H115" s="114" t="n">
        <v>3</v>
      </c>
      <c r="I115" s="67" t="n">
        <v>2</v>
      </c>
      <c r="J115" s="67" t="n">
        <v>2</v>
      </c>
      <c r="K115" s="68" t="n">
        <f aca="false">L115+M115</f>
        <v>0</v>
      </c>
      <c r="L115" s="68"/>
      <c r="M115" s="68"/>
      <c r="N115" s="67" t="n">
        <v>3</v>
      </c>
      <c r="O115" s="68" t="n">
        <f aca="false">P115+Q115</f>
        <v>0</v>
      </c>
      <c r="P115" s="68"/>
      <c r="Q115" s="69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customFormat="false" ht="15.75" hidden="false" customHeight="true" outlineLevel="0" collapsed="false">
      <c r="A116" s="72"/>
      <c r="B116" s="73"/>
      <c r="C116" s="73"/>
      <c r="D116" s="73"/>
      <c r="E116" s="73"/>
      <c r="F116" s="42"/>
      <c r="G116" s="43" t="s">
        <v>23</v>
      </c>
      <c r="H116" s="126" t="n">
        <v>5</v>
      </c>
      <c r="I116" s="64" t="n">
        <v>7</v>
      </c>
      <c r="J116" s="64" t="n">
        <v>7</v>
      </c>
      <c r="K116" s="65" t="n">
        <f aca="false">L116+M116</f>
        <v>0</v>
      </c>
      <c r="L116" s="65"/>
      <c r="M116" s="65"/>
      <c r="N116" s="64" t="n">
        <v>2</v>
      </c>
      <c r="O116" s="65" t="n">
        <f aca="false">P116+Q116</f>
        <v>0</v>
      </c>
      <c r="P116" s="65"/>
      <c r="Q116" s="66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customFormat="false" ht="15.75" hidden="false" customHeight="true" outlineLevel="0" collapsed="false">
      <c r="A117" s="17"/>
      <c r="B117" s="18" t="s">
        <v>156</v>
      </c>
      <c r="C117" s="19"/>
      <c r="D117" s="19"/>
      <c r="E117" s="19"/>
      <c r="F117" s="20"/>
      <c r="G117" s="21" t="s">
        <v>22</v>
      </c>
      <c r="H117" s="125" t="n">
        <v>3</v>
      </c>
      <c r="I117" s="67" t="n">
        <v>1</v>
      </c>
      <c r="J117" s="67" t="n">
        <v>1</v>
      </c>
      <c r="K117" s="68" t="n">
        <f aca="false">L117+M117</f>
        <v>0</v>
      </c>
      <c r="L117" s="68"/>
      <c r="M117" s="68"/>
      <c r="N117" s="67"/>
      <c r="O117" s="68" t="n">
        <f aca="false">P117+Q117</f>
        <v>0</v>
      </c>
      <c r="P117" s="68"/>
      <c r="Q117" s="69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customFormat="false" ht="15.75" hidden="false" customHeight="true" outlineLevel="0" collapsed="false">
      <c r="A118" s="17"/>
      <c r="B118" s="18"/>
      <c r="C118" s="18"/>
      <c r="D118" s="18"/>
      <c r="E118" s="18"/>
      <c r="F118" s="97"/>
      <c r="G118" s="90" t="s">
        <v>26</v>
      </c>
      <c r="H118" s="126"/>
      <c r="I118" s="91"/>
      <c r="J118" s="91"/>
      <c r="K118" s="92" t="n">
        <f aca="false">L118+M118</f>
        <v>0</v>
      </c>
      <c r="L118" s="92"/>
      <c r="M118" s="92"/>
      <c r="N118" s="91"/>
      <c r="O118" s="92" t="n">
        <f aca="false">P118+Q118</f>
        <v>0</v>
      </c>
      <c r="P118" s="92"/>
      <c r="Q118" s="93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71"/>
      <c r="G119" s="43" t="s">
        <v>23</v>
      </c>
      <c r="H119" s="139"/>
      <c r="I119" s="64"/>
      <c r="J119" s="64"/>
      <c r="K119" s="65" t="n">
        <f aca="false">L119+M119</f>
        <v>0</v>
      </c>
      <c r="L119" s="65"/>
      <c r="M119" s="65"/>
      <c r="N119" s="64"/>
      <c r="O119" s="65" t="n">
        <f aca="false">P119+Q119</f>
        <v>0</v>
      </c>
      <c r="P119" s="65"/>
      <c r="Q119" s="66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customFormat="false" ht="15.75" hidden="false" customHeight="true" outlineLevel="0" collapsed="false">
      <c r="A120" s="17"/>
      <c r="B120" s="18" t="s">
        <v>190</v>
      </c>
      <c r="C120" s="19"/>
      <c r="D120" s="19"/>
      <c r="E120" s="19"/>
      <c r="F120" s="20"/>
      <c r="G120" s="21" t="s">
        <v>22</v>
      </c>
      <c r="H120" s="125" t="n">
        <v>2</v>
      </c>
      <c r="I120" s="67"/>
      <c r="J120" s="67"/>
      <c r="K120" s="68" t="n">
        <f aca="false">L120+M120</f>
        <v>0</v>
      </c>
      <c r="L120" s="68"/>
      <c r="M120" s="68"/>
      <c r="N120" s="67"/>
      <c r="O120" s="68" t="n">
        <f aca="false">P120+Q120</f>
        <v>0</v>
      </c>
      <c r="P120" s="68"/>
      <c r="Q120" s="69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57"/>
      <c r="G121" s="27" t="s">
        <v>23</v>
      </c>
      <c r="H121" s="86"/>
      <c r="I121" s="58"/>
      <c r="J121" s="58"/>
      <c r="K121" s="59" t="n">
        <f aca="false">L121+M121</f>
        <v>0</v>
      </c>
      <c r="L121" s="59"/>
      <c r="M121" s="59"/>
      <c r="N121" s="58"/>
      <c r="O121" s="59" t="n">
        <f aca="false">P121+Q121</f>
        <v>0</v>
      </c>
      <c r="P121" s="59"/>
      <c r="Q121" s="60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customFormat="false" ht="15.75" hidden="false" customHeight="true" outlineLevel="0" collapsed="false">
      <c r="A122" s="54"/>
      <c r="B122" s="55" t="s">
        <v>99</v>
      </c>
      <c r="C122" s="56" t="s">
        <v>33</v>
      </c>
      <c r="D122" s="56" t="s">
        <v>100</v>
      </c>
      <c r="E122" s="56" t="s">
        <v>101</v>
      </c>
      <c r="F122" s="36"/>
      <c r="G122" s="37" t="s">
        <v>22</v>
      </c>
      <c r="H122" s="114" t="n">
        <v>12</v>
      </c>
      <c r="I122" s="61" t="n">
        <v>11</v>
      </c>
      <c r="J122" s="61" t="n">
        <v>11</v>
      </c>
      <c r="K122" s="62" t="n">
        <f aca="false">L122+M122</f>
        <v>0</v>
      </c>
      <c r="L122" s="62"/>
      <c r="M122" s="62"/>
      <c r="N122" s="61" t="n">
        <v>6</v>
      </c>
      <c r="O122" s="62" t="n">
        <f aca="false">P122+Q122</f>
        <v>0</v>
      </c>
      <c r="P122" s="62"/>
      <c r="Q122" s="63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customFormat="false" ht="15.75" hidden="false" customHeight="true" outlineLevel="0" collapsed="false">
      <c r="A123" s="54"/>
      <c r="B123" s="55"/>
      <c r="C123" s="55"/>
      <c r="D123" s="55"/>
      <c r="E123" s="55"/>
      <c r="F123" s="80" t="s">
        <v>191</v>
      </c>
      <c r="G123" s="81" t="s">
        <v>26</v>
      </c>
      <c r="H123" s="119" t="n">
        <v>5</v>
      </c>
      <c r="I123" s="82"/>
      <c r="J123" s="82"/>
      <c r="K123" s="83" t="n">
        <f aca="false">L123+M123</f>
        <v>0</v>
      </c>
      <c r="L123" s="83"/>
      <c r="M123" s="83"/>
      <c r="N123" s="82" t="n">
        <v>2</v>
      </c>
      <c r="O123" s="83" t="n">
        <f aca="false">P123+Q123</f>
        <v>0</v>
      </c>
      <c r="P123" s="83"/>
      <c r="Q123" s="84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/>
      <c r="G124" s="43" t="s">
        <v>23</v>
      </c>
      <c r="H124" s="124"/>
      <c r="I124" s="64"/>
      <c r="J124" s="64"/>
      <c r="K124" s="65" t="n">
        <f aca="false">L124+M124</f>
        <v>0</v>
      </c>
      <c r="L124" s="65"/>
      <c r="M124" s="65"/>
      <c r="N124" s="64"/>
      <c r="O124" s="65" t="n">
        <f aca="false">P124+Q124</f>
        <v>0</v>
      </c>
      <c r="P124" s="65"/>
      <c r="Q124" s="66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customFormat="false" ht="15.75" hidden="false" customHeight="true" outlineLevel="0" collapsed="false">
      <c r="A125" s="17"/>
      <c r="B125" s="18" t="s">
        <v>224</v>
      </c>
      <c r="C125" s="19"/>
      <c r="D125" s="19"/>
      <c r="E125" s="19"/>
      <c r="F125" s="20"/>
      <c r="G125" s="21" t="s">
        <v>22</v>
      </c>
      <c r="H125" s="112" t="n">
        <v>1</v>
      </c>
      <c r="I125" s="67"/>
      <c r="J125" s="67"/>
      <c r="K125" s="68" t="n">
        <f aca="false">L125+M125</f>
        <v>0</v>
      </c>
      <c r="L125" s="68"/>
      <c r="M125" s="68"/>
      <c r="N125" s="67"/>
      <c r="O125" s="68" t="n">
        <f aca="false">P125+Q125</f>
        <v>0</v>
      </c>
      <c r="P125" s="68"/>
      <c r="Q125" s="69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57"/>
      <c r="G126" s="27" t="s">
        <v>26</v>
      </c>
      <c r="H126" s="123"/>
      <c r="I126" s="58"/>
      <c r="J126" s="58"/>
      <c r="K126" s="59" t="n">
        <f aca="false">L126+M126</f>
        <v>0</v>
      </c>
      <c r="L126" s="59"/>
      <c r="M126" s="59"/>
      <c r="N126" s="58"/>
      <c r="O126" s="59" t="n">
        <f aca="false">P126+Q126</f>
        <v>0</v>
      </c>
      <c r="P126" s="59"/>
      <c r="Q126" s="60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customFormat="false" ht="15.75" hidden="false" customHeight="true" outlineLevel="0" collapsed="false">
      <c r="A127" s="33"/>
      <c r="B127" s="34" t="s">
        <v>102</v>
      </c>
      <c r="C127" s="35" t="s">
        <v>20</v>
      </c>
      <c r="D127" s="35"/>
      <c r="E127" s="35" t="s">
        <v>25</v>
      </c>
      <c r="F127" s="36"/>
      <c r="G127" s="37" t="s">
        <v>22</v>
      </c>
      <c r="H127" s="119" t="n">
        <v>8</v>
      </c>
      <c r="I127" s="61" t="n">
        <v>2</v>
      </c>
      <c r="J127" s="61" t="n">
        <v>2</v>
      </c>
      <c r="K127" s="62" t="n">
        <f aca="false">L127+M127</f>
        <v>0</v>
      </c>
      <c r="L127" s="62"/>
      <c r="M127" s="62"/>
      <c r="N127" s="61" t="n">
        <v>3</v>
      </c>
      <c r="O127" s="62" t="n">
        <f aca="false">P127+Q127</f>
        <v>0</v>
      </c>
      <c r="P127" s="62"/>
      <c r="Q127" s="63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192</v>
      </c>
      <c r="G128" s="43" t="s">
        <v>26</v>
      </c>
      <c r="H128" s="118" t="n">
        <v>2</v>
      </c>
      <c r="I128" s="64"/>
      <c r="J128" s="64"/>
      <c r="K128" s="65" t="n">
        <f aca="false">L128+M128</f>
        <v>0</v>
      </c>
      <c r="L128" s="65"/>
      <c r="M128" s="65"/>
      <c r="N128" s="64"/>
      <c r="O128" s="65" t="n">
        <f aca="false">P128+Q128</f>
        <v>0</v>
      </c>
      <c r="P128" s="65"/>
      <c r="Q128" s="66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customFormat="false" ht="15" hidden="false" customHeight="true" outlineLevel="0" collapsed="false">
      <c r="A129" s="17"/>
      <c r="B129" s="18" t="s">
        <v>103</v>
      </c>
      <c r="C129" s="19" t="s">
        <v>20</v>
      </c>
      <c r="D129" s="19"/>
      <c r="E129" s="19" t="s">
        <v>52</v>
      </c>
      <c r="F129" s="20"/>
      <c r="G129" s="21" t="s">
        <v>22</v>
      </c>
      <c r="H129" s="116"/>
      <c r="I129" s="67"/>
      <c r="J129" s="67"/>
      <c r="K129" s="68" t="n">
        <f aca="false">L129+M129</f>
        <v>0</v>
      </c>
      <c r="L129" s="68"/>
      <c r="M129" s="68"/>
      <c r="N129" s="67" t="n">
        <v>2</v>
      </c>
      <c r="O129" s="68" t="n">
        <f aca="false">P129+Q129</f>
        <v>0</v>
      </c>
      <c r="P129" s="68"/>
      <c r="Q129" s="69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26" t="s">
        <v>193</v>
      </c>
      <c r="G130" s="27" t="s">
        <v>26</v>
      </c>
      <c r="H130" s="117" t="n">
        <v>6</v>
      </c>
      <c r="I130" s="58"/>
      <c r="J130" s="58"/>
      <c r="K130" s="59" t="n">
        <f aca="false">L130+M130</f>
        <v>0</v>
      </c>
      <c r="L130" s="59"/>
      <c r="M130" s="59"/>
      <c r="N130" s="58" t="n">
        <v>2</v>
      </c>
      <c r="O130" s="59" t="n">
        <f aca="false">P130+Q130</f>
        <v>0</v>
      </c>
      <c r="P130" s="59"/>
      <c r="Q130" s="60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customFormat="false" ht="15" hidden="false" customHeight="true" outlineLevel="0" collapsed="false">
      <c r="A131" s="54"/>
      <c r="B131" s="55" t="s">
        <v>104</v>
      </c>
      <c r="C131" s="56" t="s">
        <v>20</v>
      </c>
      <c r="D131" s="56"/>
      <c r="E131" s="56" t="s">
        <v>25</v>
      </c>
      <c r="F131" s="22"/>
      <c r="G131" s="21" t="s">
        <v>22</v>
      </c>
      <c r="H131" s="116"/>
      <c r="I131" s="61"/>
      <c r="J131" s="61"/>
      <c r="K131" s="62" t="n">
        <f aca="false">L131+M131</f>
        <v>0</v>
      </c>
      <c r="L131" s="62"/>
      <c r="M131" s="62"/>
      <c r="N131" s="61"/>
      <c r="O131" s="62" t="n">
        <f aca="false">P131+Q131</f>
        <v>0</v>
      </c>
      <c r="P131" s="62"/>
      <c r="Q131" s="63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57"/>
      <c r="G132" s="27" t="s">
        <v>26</v>
      </c>
      <c r="H132" s="115"/>
      <c r="I132" s="58"/>
      <c r="J132" s="58"/>
      <c r="K132" s="59" t="n">
        <f aca="false">L132+M132</f>
        <v>0</v>
      </c>
      <c r="L132" s="59"/>
      <c r="M132" s="59"/>
      <c r="N132" s="58"/>
      <c r="O132" s="59" t="n">
        <f aca="false">P132+Q132</f>
        <v>0</v>
      </c>
      <c r="P132" s="59"/>
      <c r="Q132" s="60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customFormat="false" ht="15.75" hidden="false" customHeight="true" outlineLevel="0" collapsed="false">
      <c r="A133" s="33"/>
      <c r="B133" s="34" t="s">
        <v>105</v>
      </c>
      <c r="C133" s="35" t="s">
        <v>33</v>
      </c>
      <c r="D133" s="35" t="s">
        <v>106</v>
      </c>
      <c r="E133" s="35" t="s">
        <v>107</v>
      </c>
      <c r="F133" s="36"/>
      <c r="G133" s="21" t="s">
        <v>22</v>
      </c>
      <c r="H133" s="116"/>
      <c r="I133" s="61"/>
      <c r="J133" s="61"/>
      <c r="K133" s="62" t="n">
        <f aca="false">L133+M133</f>
        <v>0</v>
      </c>
      <c r="L133" s="62"/>
      <c r="M133" s="62"/>
      <c r="N133" s="61" t="n">
        <v>7</v>
      </c>
      <c r="O133" s="62" t="n">
        <f aca="false">P133+Q133</f>
        <v>7780.05</v>
      </c>
      <c r="P133" s="62" t="n">
        <v>7780.05</v>
      </c>
      <c r="Q133" s="63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194</v>
      </c>
      <c r="G134" s="43" t="s">
        <v>26</v>
      </c>
      <c r="H134" s="118" t="n">
        <v>1</v>
      </c>
      <c r="I134" s="64"/>
      <c r="J134" s="64"/>
      <c r="K134" s="65" t="n">
        <v>881</v>
      </c>
      <c r="L134" s="65" t="n">
        <v>881</v>
      </c>
      <c r="M134" s="65"/>
      <c r="N134" s="64" t="n">
        <v>6</v>
      </c>
      <c r="O134" s="65" t="n">
        <f aca="false">P134+Q134</f>
        <v>0</v>
      </c>
      <c r="P134" s="65"/>
      <c r="Q134" s="66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customFormat="false" ht="15.75" hidden="false" customHeight="true" outlineLevel="0" collapsed="false">
      <c r="A135" s="72"/>
      <c r="B135" s="73" t="s">
        <v>108</v>
      </c>
      <c r="C135" s="74" t="s">
        <v>33</v>
      </c>
      <c r="D135" s="74" t="s">
        <v>109</v>
      </c>
      <c r="E135" s="74" t="s">
        <v>25</v>
      </c>
      <c r="F135" s="20"/>
      <c r="G135" s="21" t="s">
        <v>22</v>
      </c>
      <c r="H135" s="114" t="n">
        <v>5</v>
      </c>
      <c r="I135" s="67" t="n">
        <v>3</v>
      </c>
      <c r="J135" s="67" t="n">
        <v>3</v>
      </c>
      <c r="K135" s="68" t="n">
        <f aca="false">L135+M135</f>
        <v>0</v>
      </c>
      <c r="L135" s="68"/>
      <c r="M135" s="68"/>
      <c r="N135" s="67" t="n">
        <v>7</v>
      </c>
      <c r="O135" s="68" t="n">
        <f aca="false">P135+Q135</f>
        <v>0</v>
      </c>
      <c r="P135" s="68"/>
      <c r="Q135" s="69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195</v>
      </c>
      <c r="G136" s="43" t="s">
        <v>26</v>
      </c>
      <c r="H136" s="117" t="n">
        <v>4</v>
      </c>
      <c r="I136" s="64"/>
      <c r="J136" s="64"/>
      <c r="K136" s="65" t="n">
        <f aca="false">L136+M136</f>
        <v>0</v>
      </c>
      <c r="L136" s="65"/>
      <c r="M136" s="65"/>
      <c r="N136" s="64" t="n">
        <v>4</v>
      </c>
      <c r="O136" s="65" t="n">
        <f aca="false">P136+Q136</f>
        <v>0</v>
      </c>
      <c r="P136" s="65"/>
      <c r="Q136" s="66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customFormat="false" ht="15.75" hidden="false" customHeight="true" outlineLevel="0" collapsed="false">
      <c r="A137" s="17"/>
      <c r="B137" s="18" t="s">
        <v>110</v>
      </c>
      <c r="C137" s="19" t="s">
        <v>33</v>
      </c>
      <c r="D137" s="19" t="s">
        <v>111</v>
      </c>
      <c r="E137" s="19" t="s">
        <v>25</v>
      </c>
      <c r="F137" s="20"/>
      <c r="G137" s="21" t="s">
        <v>22</v>
      </c>
      <c r="H137" s="114" t="n">
        <v>15</v>
      </c>
      <c r="I137" s="67" t="n">
        <v>7</v>
      </c>
      <c r="J137" s="22" t="n">
        <v>8</v>
      </c>
      <c r="K137" s="68" t="n">
        <f aca="false">L137+M137</f>
        <v>1494.18</v>
      </c>
      <c r="L137" s="68" t="n">
        <v>1494.18</v>
      </c>
      <c r="M137" s="68"/>
      <c r="N137" s="67" t="n">
        <v>6</v>
      </c>
      <c r="O137" s="68" t="n">
        <f aca="false">P137+Q137</f>
        <v>8854.81</v>
      </c>
      <c r="P137" s="68" t="n">
        <v>8854.81</v>
      </c>
      <c r="Q137" s="69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196</v>
      </c>
      <c r="G138" s="27" t="s">
        <v>26</v>
      </c>
      <c r="H138" s="115"/>
      <c r="I138" s="58"/>
      <c r="J138" s="58"/>
      <c r="K138" s="59" t="n">
        <f aca="false">L138+M138</f>
        <v>0</v>
      </c>
      <c r="L138" s="59"/>
      <c r="M138" s="59"/>
      <c r="N138" s="58" t="n">
        <v>2</v>
      </c>
      <c r="O138" s="59" t="n">
        <f aca="false">P138+Q138</f>
        <v>0</v>
      </c>
      <c r="P138" s="59"/>
      <c r="Q138" s="60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customFormat="false" ht="15.75" hidden="false" customHeight="true" outlineLevel="0" collapsed="false">
      <c r="A139" s="33"/>
      <c r="B139" s="34" t="s">
        <v>112</v>
      </c>
      <c r="C139" s="35" t="s">
        <v>20</v>
      </c>
      <c r="D139" s="35" t="s">
        <v>197</v>
      </c>
      <c r="E139" s="35" t="s">
        <v>25</v>
      </c>
      <c r="F139" s="36"/>
      <c r="G139" s="21" t="s">
        <v>22</v>
      </c>
      <c r="H139" s="114" t="n">
        <v>5</v>
      </c>
      <c r="I139" s="61" t="n">
        <v>4</v>
      </c>
      <c r="J139" s="61" t="n">
        <v>5</v>
      </c>
      <c r="K139" s="94" t="n">
        <f aca="false">L139+M139</f>
        <v>1162.92</v>
      </c>
      <c r="L139" s="140" t="n">
        <v>116.25</v>
      </c>
      <c r="M139" s="62" t="n">
        <v>1046.67</v>
      </c>
      <c r="N139" s="61" t="n">
        <v>1</v>
      </c>
      <c r="O139" s="62" t="n">
        <f aca="false">P139+Q139</f>
        <v>0</v>
      </c>
      <c r="P139" s="62"/>
      <c r="Q139" s="63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26" t="s">
        <v>198</v>
      </c>
      <c r="G140" s="27" t="s">
        <v>26</v>
      </c>
      <c r="H140" s="117" t="n">
        <v>1</v>
      </c>
      <c r="I140" s="64"/>
      <c r="J140" s="64"/>
      <c r="K140" s="65" t="n">
        <f aca="false">L140+M140</f>
        <v>0</v>
      </c>
      <c r="L140" s="65"/>
      <c r="M140" s="65"/>
      <c r="N140" s="64" t="n">
        <v>1</v>
      </c>
      <c r="O140" s="65" t="n">
        <f aca="false">P140+Q140</f>
        <v>0</v>
      </c>
      <c r="P140" s="65"/>
      <c r="Q140" s="66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customFormat="false" ht="15" hidden="false" customHeight="true" outlineLevel="0" collapsed="false">
      <c r="A141" s="17"/>
      <c r="B141" s="18" t="s">
        <v>113</v>
      </c>
      <c r="C141" s="19" t="s">
        <v>20</v>
      </c>
      <c r="D141" s="19"/>
      <c r="E141" s="19" t="s">
        <v>31</v>
      </c>
      <c r="F141" s="36"/>
      <c r="G141" s="21" t="s">
        <v>22</v>
      </c>
      <c r="H141" s="114" t="n">
        <v>3</v>
      </c>
      <c r="I141" s="67" t="n">
        <v>3</v>
      </c>
      <c r="J141" s="67" t="n">
        <v>3</v>
      </c>
      <c r="K141" s="68" t="n">
        <f aca="false">L141+M141</f>
        <v>4858.85</v>
      </c>
      <c r="L141" s="68" t="n">
        <v>4858.85</v>
      </c>
      <c r="M141" s="68"/>
      <c r="N141" s="67" t="n">
        <v>1</v>
      </c>
      <c r="O141" s="68" t="n">
        <f aca="false">P141+Q141</f>
        <v>1583.16</v>
      </c>
      <c r="P141" s="68" t="n">
        <v>1583.16</v>
      </c>
      <c r="Q141" s="69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27" t="s">
        <v>26</v>
      </c>
      <c r="H142" s="115"/>
      <c r="I142" s="58"/>
      <c r="J142" s="58"/>
      <c r="K142" s="59" t="n">
        <f aca="false">L142+M142</f>
        <v>0</v>
      </c>
      <c r="L142" s="59"/>
      <c r="M142" s="59"/>
      <c r="N142" s="58"/>
      <c r="O142" s="59" t="n">
        <f aca="false">P142+Q142</f>
        <v>0</v>
      </c>
      <c r="P142" s="59"/>
      <c r="Q142" s="60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customFormat="false" ht="15" hidden="false" customHeight="true" outlineLevel="0" collapsed="false">
      <c r="A143" s="33"/>
      <c r="B143" s="34" t="s">
        <v>114</v>
      </c>
      <c r="C143" s="35" t="s">
        <v>20</v>
      </c>
      <c r="D143" s="95"/>
      <c r="E143" s="35" t="s">
        <v>25</v>
      </c>
      <c r="F143" s="71"/>
      <c r="G143" s="21" t="s">
        <v>22</v>
      </c>
      <c r="H143" s="116"/>
      <c r="I143" s="61"/>
      <c r="J143" s="61"/>
      <c r="K143" s="62" t="n">
        <f aca="false">L143+M143</f>
        <v>0</v>
      </c>
      <c r="L143" s="62"/>
      <c r="M143" s="62"/>
      <c r="N143" s="61"/>
      <c r="O143" s="62" t="n">
        <f aca="false">P143+Q143</f>
        <v>0</v>
      </c>
      <c r="P143" s="62"/>
      <c r="Q143" s="63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42" t="s">
        <v>199</v>
      </c>
      <c r="G144" s="43" t="s">
        <v>26</v>
      </c>
      <c r="H144" s="122" t="n">
        <v>2</v>
      </c>
      <c r="I144" s="64"/>
      <c r="J144" s="64"/>
      <c r="K144" s="65" t="n">
        <f aca="false">L144+M144</f>
        <v>0</v>
      </c>
      <c r="L144" s="65"/>
      <c r="M144" s="65"/>
      <c r="N144" s="64"/>
      <c r="O144" s="65" t="n">
        <f aca="false">P144+Q144</f>
        <v>0</v>
      </c>
      <c r="P144" s="65"/>
      <c r="Q144" s="66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customFormat="false" ht="15.75" hidden="false" customHeight="true" outlineLevel="0" collapsed="false">
      <c r="A145" s="17"/>
      <c r="B145" s="18" t="s">
        <v>200</v>
      </c>
      <c r="C145" s="141"/>
      <c r="D145" s="19"/>
      <c r="E145" s="19"/>
      <c r="F145" s="20"/>
      <c r="G145" s="21" t="s">
        <v>22</v>
      </c>
      <c r="H145" s="125" t="n">
        <v>3</v>
      </c>
      <c r="I145" s="67" t="n">
        <v>1</v>
      </c>
      <c r="J145" s="67" t="n">
        <v>1</v>
      </c>
      <c r="K145" s="68" t="n">
        <f aca="false">L145+M145</f>
        <v>0</v>
      </c>
      <c r="L145" s="68"/>
      <c r="M145" s="68"/>
      <c r="N145" s="67"/>
      <c r="O145" s="68" t="n">
        <f aca="false">P145+Q145</f>
        <v>0</v>
      </c>
      <c r="P145" s="68"/>
      <c r="Q145" s="69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57"/>
      <c r="G146" s="27" t="s">
        <v>26</v>
      </c>
      <c r="H146" s="86" t="n">
        <v>3</v>
      </c>
      <c r="I146" s="58"/>
      <c r="J146" s="58"/>
      <c r="K146" s="59" t="n">
        <f aca="false">L146+M146</f>
        <v>0</v>
      </c>
      <c r="L146" s="59"/>
      <c r="M146" s="59"/>
      <c r="N146" s="58"/>
      <c r="O146" s="59" t="n">
        <f aca="false">P146+Q146</f>
        <v>0</v>
      </c>
      <c r="P146" s="59"/>
      <c r="Q146" s="60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customFormat="false" ht="15.75" hidden="false" customHeight="true" outlineLevel="0" collapsed="false">
      <c r="A147" s="54"/>
      <c r="B147" s="55" t="s">
        <v>115</v>
      </c>
      <c r="C147" s="56" t="s">
        <v>20</v>
      </c>
      <c r="D147" s="56"/>
      <c r="E147" s="56" t="s">
        <v>116</v>
      </c>
      <c r="F147" s="36"/>
      <c r="G147" s="37" t="s">
        <v>22</v>
      </c>
      <c r="H147" s="114" t="n">
        <v>6</v>
      </c>
      <c r="I147" s="61" t="n">
        <v>5</v>
      </c>
      <c r="J147" s="61" t="n">
        <v>5</v>
      </c>
      <c r="K147" s="62" t="n">
        <f aca="false">L147+M147</f>
        <v>264.3</v>
      </c>
      <c r="L147" s="62" t="n">
        <v>264.3</v>
      </c>
      <c r="M147" s="62"/>
      <c r="N147" s="61" t="n">
        <v>7</v>
      </c>
      <c r="O147" s="62" t="n">
        <f aca="false">P147+Q147</f>
        <v>4414.68</v>
      </c>
      <c r="P147" s="62" t="n">
        <v>4414.68</v>
      </c>
      <c r="Q147" s="63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customFormat="false" ht="15.75" hidden="false" customHeight="true" outlineLevel="0" collapsed="false">
      <c r="A148" s="54"/>
      <c r="B148" s="55"/>
      <c r="C148" s="55"/>
      <c r="D148" s="55"/>
      <c r="E148" s="55"/>
      <c r="F148" s="42" t="s">
        <v>201</v>
      </c>
      <c r="G148" s="43" t="s">
        <v>26</v>
      </c>
      <c r="H148" s="126" t="n">
        <v>5</v>
      </c>
      <c r="I148" s="64" t="n">
        <v>1</v>
      </c>
      <c r="J148" s="64" t="n">
        <v>1</v>
      </c>
      <c r="K148" s="65" t="n">
        <v>881</v>
      </c>
      <c r="L148" s="65" t="n">
        <v>881</v>
      </c>
      <c r="M148" s="65"/>
      <c r="N148" s="64" t="n">
        <v>4</v>
      </c>
      <c r="O148" s="65" t="n">
        <f aca="false">P148+Q148</f>
        <v>0</v>
      </c>
      <c r="P148" s="65"/>
      <c r="Q148" s="66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customFormat="false" ht="15" hidden="false" customHeight="true" outlineLevel="0" collapsed="false">
      <c r="A149" s="17"/>
      <c r="B149" s="18" t="s">
        <v>157</v>
      </c>
      <c r="C149" s="127"/>
      <c r="D149" s="127"/>
      <c r="E149" s="127"/>
      <c r="F149" s="22"/>
      <c r="G149" s="21" t="s">
        <v>22</v>
      </c>
      <c r="H149" s="112" t="n">
        <v>2</v>
      </c>
      <c r="I149" s="67" t="n">
        <v>1</v>
      </c>
      <c r="J149" s="67" t="n">
        <v>1</v>
      </c>
      <c r="K149" s="68" t="n">
        <f aca="false">L149+M149</f>
        <v>0</v>
      </c>
      <c r="L149" s="68"/>
      <c r="M149" s="68"/>
      <c r="N149" s="67"/>
      <c r="O149" s="68" t="n">
        <f aca="false">P149+Q149</f>
        <v>0</v>
      </c>
      <c r="P149" s="68"/>
      <c r="Q149" s="69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customFormat="false" ht="15" hidden="false" customHeight="false" outlineLevel="0" collapsed="false">
      <c r="A150" s="17"/>
      <c r="B150" s="18"/>
      <c r="C150" s="127"/>
      <c r="D150" s="127"/>
      <c r="E150" s="128"/>
      <c r="F150" s="26" t="s">
        <v>202</v>
      </c>
      <c r="G150" s="27" t="s">
        <v>26</v>
      </c>
      <c r="H150" s="123" t="n">
        <v>1</v>
      </c>
      <c r="I150" s="58"/>
      <c r="J150" s="58"/>
      <c r="K150" s="59" t="n">
        <f aca="false">L150+M150</f>
        <v>0</v>
      </c>
      <c r="L150" s="59"/>
      <c r="M150" s="59"/>
      <c r="N150" s="58"/>
      <c r="O150" s="59" t="n">
        <f aca="false">P150+Q150</f>
        <v>0</v>
      </c>
      <c r="P150" s="59"/>
      <c r="Q150" s="60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customFormat="false" ht="15" hidden="false" customHeight="true" outlineLevel="0" collapsed="false">
      <c r="A151" s="33"/>
      <c r="B151" s="34" t="s">
        <v>117</v>
      </c>
      <c r="C151" s="35" t="s">
        <v>33</v>
      </c>
      <c r="D151" s="35" t="s">
        <v>118</v>
      </c>
      <c r="E151" s="35" t="s">
        <v>25</v>
      </c>
      <c r="F151" s="89"/>
      <c r="G151" s="37" t="s">
        <v>22</v>
      </c>
      <c r="H151" s="119"/>
      <c r="I151" s="61"/>
      <c r="J151" s="61"/>
      <c r="K151" s="62" t="n">
        <f aca="false">L151+M151</f>
        <v>0</v>
      </c>
      <c r="L151" s="62"/>
      <c r="M151" s="62"/>
      <c r="N151" s="61"/>
      <c r="O151" s="62" t="n">
        <f aca="false">P151+Q151</f>
        <v>0</v>
      </c>
      <c r="P151" s="62"/>
      <c r="Q151" s="63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customFormat="false" ht="15" hidden="false" customHeight="false" outlineLevel="0" collapsed="false">
      <c r="A152" s="33"/>
      <c r="B152" s="34"/>
      <c r="C152" s="34"/>
      <c r="D152" s="34"/>
      <c r="E152" s="34"/>
      <c r="F152" s="42"/>
      <c r="G152" s="37" t="s">
        <v>23</v>
      </c>
      <c r="H152" s="116"/>
      <c r="I152" s="61"/>
      <c r="J152" s="61"/>
      <c r="K152" s="62" t="n">
        <f aca="false">L152+M152</f>
        <v>0</v>
      </c>
      <c r="L152" s="62"/>
      <c r="M152" s="62"/>
      <c r="N152" s="61" t="n">
        <v>1</v>
      </c>
      <c r="O152" s="62" t="n">
        <f aca="false">P152+Q152</f>
        <v>0</v>
      </c>
      <c r="P152" s="62"/>
      <c r="Q152" s="63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customFormat="false" ht="15" hidden="false" customHeight="false" outlineLevel="0" collapsed="false">
      <c r="A153" s="33"/>
      <c r="B153" s="34"/>
      <c r="C153" s="34"/>
      <c r="D153" s="34"/>
      <c r="E153" s="34"/>
      <c r="F153" s="42"/>
      <c r="G153" s="43" t="s">
        <v>26</v>
      </c>
      <c r="H153" s="115"/>
      <c r="I153" s="64"/>
      <c r="J153" s="64"/>
      <c r="K153" s="65" t="n">
        <f aca="false">L153+M153</f>
        <v>0</v>
      </c>
      <c r="L153" s="65"/>
      <c r="M153" s="65"/>
      <c r="N153" s="64" t="n">
        <v>5</v>
      </c>
      <c r="O153" s="65" t="n">
        <f aca="false">P153+Q153</f>
        <v>0</v>
      </c>
      <c r="P153" s="65"/>
      <c r="Q153" s="66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customFormat="false" ht="15" hidden="false" customHeight="true" outlineLevel="0" collapsed="false">
      <c r="A154" s="17"/>
      <c r="B154" s="18" t="s">
        <v>119</v>
      </c>
      <c r="C154" s="19" t="s">
        <v>20</v>
      </c>
      <c r="D154" s="19"/>
      <c r="E154" s="19" t="s">
        <v>25</v>
      </c>
      <c r="F154" s="20"/>
      <c r="G154" s="21" t="s">
        <v>22</v>
      </c>
      <c r="H154" s="116"/>
      <c r="I154" s="67"/>
      <c r="J154" s="67"/>
      <c r="K154" s="68" t="n">
        <f aca="false">L154+M154</f>
        <v>0</v>
      </c>
      <c r="L154" s="68"/>
      <c r="M154" s="68"/>
      <c r="N154" s="67" t="n">
        <v>2</v>
      </c>
      <c r="O154" s="68" t="n">
        <f aca="false">P154+Q154</f>
        <v>0</v>
      </c>
      <c r="P154" s="68"/>
      <c r="Q154" s="69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customFormat="false" ht="15.75" hidden="false" customHeight="true" outlineLevel="0" collapsed="false">
      <c r="A155" s="17"/>
      <c r="B155" s="18"/>
      <c r="C155" s="18"/>
      <c r="D155" s="18"/>
      <c r="E155" s="18"/>
      <c r="F155" s="42" t="s">
        <v>203</v>
      </c>
      <c r="G155" s="43" t="s">
        <v>26</v>
      </c>
      <c r="H155" s="122" t="n">
        <v>2</v>
      </c>
      <c r="I155" s="64" t="n">
        <v>1</v>
      </c>
      <c r="J155" s="64" t="n">
        <v>1</v>
      </c>
      <c r="K155" s="65" t="n">
        <f aca="false">L155+M155</f>
        <v>881</v>
      </c>
      <c r="L155" s="65" t="n">
        <v>881</v>
      </c>
      <c r="M155" s="65"/>
      <c r="N155" s="64" t="n">
        <v>1</v>
      </c>
      <c r="O155" s="65" t="n">
        <f aca="false">P155+Q155</f>
        <v>0</v>
      </c>
      <c r="P155" s="65"/>
      <c r="Q155" s="66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customFormat="false" ht="15" hidden="false" customHeight="true" outlineLevel="0" collapsed="false">
      <c r="A156" s="17"/>
      <c r="B156" s="18" t="s">
        <v>225</v>
      </c>
      <c r="C156" s="19"/>
      <c r="D156" s="19"/>
      <c r="E156" s="19"/>
      <c r="F156" s="20"/>
      <c r="G156" s="21" t="s">
        <v>22</v>
      </c>
      <c r="H156" s="112"/>
      <c r="I156" s="67"/>
      <c r="J156" s="67"/>
      <c r="K156" s="68" t="n">
        <f aca="false">L156+M156</f>
        <v>0</v>
      </c>
      <c r="L156" s="68"/>
      <c r="M156" s="68"/>
      <c r="N156" s="67"/>
      <c r="O156" s="68" t="n">
        <f aca="false">P156+Q156</f>
        <v>0</v>
      </c>
      <c r="P156" s="68"/>
      <c r="Q156" s="69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customFormat="false" ht="15" hidden="false" customHeight="false" outlineLevel="0" collapsed="false">
      <c r="A157" s="17"/>
      <c r="B157" s="18"/>
      <c r="C157" s="18"/>
      <c r="D157" s="18"/>
      <c r="E157" s="18"/>
      <c r="F157" s="57"/>
      <c r="G157" s="27" t="s">
        <v>23</v>
      </c>
      <c r="H157" s="123" t="n">
        <v>2</v>
      </c>
      <c r="I157" s="58"/>
      <c r="J157" s="58"/>
      <c r="K157" s="59" t="n">
        <f aca="false">L157+M157</f>
        <v>0</v>
      </c>
      <c r="L157" s="59"/>
      <c r="M157" s="59"/>
      <c r="N157" s="58"/>
      <c r="O157" s="59" t="n">
        <f aca="false">P157+Q157</f>
        <v>0</v>
      </c>
      <c r="P157" s="59"/>
      <c r="Q157" s="60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customFormat="false" ht="15" hidden="false" customHeight="true" outlineLevel="0" collapsed="false">
      <c r="A158" s="54"/>
      <c r="B158" s="55" t="s">
        <v>120</v>
      </c>
      <c r="C158" s="56" t="s">
        <v>20</v>
      </c>
      <c r="D158" s="56"/>
      <c r="E158" s="56" t="s">
        <v>25</v>
      </c>
      <c r="F158" s="36"/>
      <c r="G158" s="37" t="s">
        <v>22</v>
      </c>
      <c r="H158" s="116"/>
      <c r="I158" s="61"/>
      <c r="J158" s="61"/>
      <c r="K158" s="62" t="n">
        <f aca="false">L158+M158</f>
        <v>0</v>
      </c>
      <c r="L158" s="62"/>
      <c r="M158" s="62"/>
      <c r="N158" s="61" t="n">
        <v>3</v>
      </c>
      <c r="O158" s="62" t="n">
        <f aca="false">P158+Q158</f>
        <v>0</v>
      </c>
      <c r="P158" s="62"/>
      <c r="Q158" s="63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customFormat="false" ht="15.75" hidden="false" customHeight="true" outlineLevel="0" collapsed="false">
      <c r="A159" s="54"/>
      <c r="B159" s="55"/>
      <c r="C159" s="55"/>
      <c r="D159" s="55"/>
      <c r="E159" s="55"/>
      <c r="F159" s="71"/>
      <c r="G159" s="43" t="s">
        <v>26</v>
      </c>
      <c r="H159" s="124"/>
      <c r="I159" s="64"/>
      <c r="J159" s="64"/>
      <c r="K159" s="65" t="n">
        <f aca="false">L159+M159</f>
        <v>0</v>
      </c>
      <c r="L159" s="65"/>
      <c r="M159" s="65"/>
      <c r="N159" s="64"/>
      <c r="O159" s="65" t="n">
        <f aca="false">P159+Q159</f>
        <v>0</v>
      </c>
      <c r="P159" s="65"/>
      <c r="Q159" s="66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customFormat="false" ht="15" hidden="false" customHeight="true" outlineLevel="0" collapsed="false">
      <c r="A160" s="72"/>
      <c r="B160" s="18" t="s">
        <v>158</v>
      </c>
      <c r="C160" s="74"/>
      <c r="D160" s="56" t="s">
        <v>204</v>
      </c>
      <c r="E160" s="74"/>
      <c r="F160" s="53"/>
      <c r="G160" s="21" t="s">
        <v>22</v>
      </c>
      <c r="H160" s="129"/>
      <c r="I160" s="130"/>
      <c r="J160" s="130"/>
      <c r="K160" s="131" t="n">
        <f aca="false">L160+M160</f>
        <v>0</v>
      </c>
      <c r="L160" s="131"/>
      <c r="M160" s="131"/>
      <c r="N160" s="130"/>
      <c r="O160" s="131" t="n">
        <f aca="false">P160+Q160</f>
        <v>0</v>
      </c>
      <c r="P160" s="131"/>
      <c r="Q160" s="13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customFormat="false" ht="15" hidden="false" customHeight="false" outlineLevel="0" collapsed="false">
      <c r="A161" s="54"/>
      <c r="B161" s="18"/>
      <c r="C161" s="56"/>
      <c r="D161" s="56"/>
      <c r="E161" s="56"/>
      <c r="F161" s="138" t="s">
        <v>205</v>
      </c>
      <c r="G161" s="27" t="s">
        <v>26</v>
      </c>
      <c r="H161" s="118" t="n">
        <v>2</v>
      </c>
      <c r="I161" s="134"/>
      <c r="J161" s="134"/>
      <c r="K161" s="135" t="n">
        <f aca="false">L161+M161</f>
        <v>0</v>
      </c>
      <c r="L161" s="135"/>
      <c r="M161" s="135"/>
      <c r="N161" s="134"/>
      <c r="O161" s="135" t="n">
        <f aca="false">P161+Q161</f>
        <v>0</v>
      </c>
      <c r="P161" s="135"/>
      <c r="Q161" s="136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customFormat="false" ht="15" hidden="false" customHeight="true" outlineLevel="0" collapsed="false">
      <c r="A162" s="33"/>
      <c r="B162" s="34" t="s">
        <v>152</v>
      </c>
      <c r="C162" s="35" t="s">
        <v>20</v>
      </c>
      <c r="D162" s="35"/>
      <c r="E162" s="35" t="s">
        <v>25</v>
      </c>
      <c r="F162" s="36"/>
      <c r="G162" s="37" t="s">
        <v>22</v>
      </c>
      <c r="H162" s="116"/>
      <c r="I162" s="61"/>
      <c r="J162" s="61"/>
      <c r="K162" s="62" t="n">
        <f aca="false">L162+M162</f>
        <v>0</v>
      </c>
      <c r="L162" s="62"/>
      <c r="M162" s="62"/>
      <c r="N162" s="61" t="n">
        <v>1</v>
      </c>
      <c r="O162" s="62" t="n">
        <f aca="false">P162+Q162</f>
        <v>0</v>
      </c>
      <c r="P162" s="62"/>
      <c r="Q162" s="63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customFormat="false" ht="15.75" hidden="false" customHeight="true" outlineLevel="0" collapsed="false">
      <c r="A163" s="33"/>
      <c r="B163" s="34"/>
      <c r="C163" s="34"/>
      <c r="D163" s="34"/>
      <c r="E163" s="34"/>
      <c r="F163" s="42" t="s">
        <v>206</v>
      </c>
      <c r="G163" s="43" t="s">
        <v>26</v>
      </c>
      <c r="H163" s="117" t="n">
        <v>3</v>
      </c>
      <c r="I163" s="64"/>
      <c r="J163" s="64"/>
      <c r="K163" s="65" t="n">
        <v>1145.3</v>
      </c>
      <c r="L163" s="65" t="n">
        <v>1145.3</v>
      </c>
      <c r="M163" s="65"/>
      <c r="N163" s="64" t="n">
        <v>3</v>
      </c>
      <c r="O163" s="65" t="n">
        <f aca="false">P163+Q163</f>
        <v>0</v>
      </c>
      <c r="P163" s="65"/>
      <c r="Q163" s="66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customFormat="false" ht="15" hidden="false" customHeight="true" outlineLevel="0" collapsed="false">
      <c r="A164" s="17"/>
      <c r="B164" s="18" t="s">
        <v>122</v>
      </c>
      <c r="C164" s="19" t="s">
        <v>20</v>
      </c>
      <c r="D164" s="19"/>
      <c r="E164" s="19" t="s">
        <v>116</v>
      </c>
      <c r="F164" s="20"/>
      <c r="G164" s="21" t="s">
        <v>22</v>
      </c>
      <c r="H164" s="114" t="n">
        <v>13</v>
      </c>
      <c r="I164" s="67" t="n">
        <v>9</v>
      </c>
      <c r="J164" s="67" t="n">
        <v>9</v>
      </c>
      <c r="K164" s="68" t="n">
        <f aca="false">L164+M164</f>
        <v>3607.7</v>
      </c>
      <c r="L164" s="68" t="n">
        <v>3607.7</v>
      </c>
      <c r="M164" s="68"/>
      <c r="N164" s="67" t="n">
        <v>15</v>
      </c>
      <c r="O164" s="68" t="n">
        <f aca="false">P164+Q164</f>
        <v>12768.32</v>
      </c>
      <c r="P164" s="68" t="n">
        <v>12768.32</v>
      </c>
      <c r="Q164" s="69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customFormat="false" ht="15.75" hidden="false" customHeight="true" outlineLevel="0" collapsed="false">
      <c r="A165" s="17"/>
      <c r="B165" s="18"/>
      <c r="C165" s="18"/>
      <c r="D165" s="18"/>
      <c r="E165" s="18"/>
      <c r="F165" s="57"/>
      <c r="G165" s="27" t="s">
        <v>26</v>
      </c>
      <c r="H165" s="115"/>
      <c r="I165" s="58"/>
      <c r="J165" s="58"/>
      <c r="K165" s="59" t="n">
        <f aca="false">L165+M165</f>
        <v>0</v>
      </c>
      <c r="L165" s="59"/>
      <c r="M165" s="59"/>
      <c r="N165" s="58"/>
      <c r="O165" s="59" t="n">
        <f aca="false">P165+Q165</f>
        <v>0</v>
      </c>
      <c r="P165" s="59"/>
      <c r="Q165" s="60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customFormat="false" ht="15.75" hidden="false" customHeight="true" outlineLevel="0" collapsed="false">
      <c r="A166" s="33"/>
      <c r="B166" s="34" t="s">
        <v>123</v>
      </c>
      <c r="C166" s="35" t="s">
        <v>20</v>
      </c>
      <c r="D166" s="35"/>
      <c r="E166" s="35" t="s">
        <v>25</v>
      </c>
      <c r="F166" s="36"/>
      <c r="G166" s="21" t="s">
        <v>22</v>
      </c>
      <c r="H166" s="114" t="n">
        <v>2</v>
      </c>
      <c r="I166" s="61" t="n">
        <v>2</v>
      </c>
      <c r="J166" s="61" t="n">
        <v>2</v>
      </c>
      <c r="K166" s="62" t="n">
        <f aca="false">L166+M166</f>
        <v>881</v>
      </c>
      <c r="L166" s="62" t="n">
        <v>881</v>
      </c>
      <c r="M166" s="62"/>
      <c r="N166" s="61" t="n">
        <v>1</v>
      </c>
      <c r="O166" s="62" t="n">
        <f aca="false">P166+Q166</f>
        <v>6930.62</v>
      </c>
      <c r="P166" s="62" t="n">
        <v>6930.62</v>
      </c>
      <c r="Q166" s="63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customFormat="false" ht="15.75" hidden="false" customHeight="true" outlineLevel="0" collapsed="false">
      <c r="A167" s="33"/>
      <c r="B167" s="34"/>
      <c r="C167" s="34"/>
      <c r="D167" s="34"/>
      <c r="E167" s="34"/>
      <c r="F167" s="42" t="s">
        <v>207</v>
      </c>
      <c r="G167" s="43" t="s">
        <v>26</v>
      </c>
      <c r="H167" s="118" t="n">
        <v>1</v>
      </c>
      <c r="I167" s="64"/>
      <c r="J167" s="64"/>
      <c r="K167" s="65" t="n">
        <v>881</v>
      </c>
      <c r="L167" s="65" t="n">
        <v>881</v>
      </c>
      <c r="M167" s="65"/>
      <c r="N167" s="64" t="n">
        <v>1</v>
      </c>
      <c r="O167" s="65" t="n">
        <f aca="false">P167+Q167</f>
        <v>0</v>
      </c>
      <c r="P167" s="65"/>
      <c r="Q167" s="66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customFormat="false" ht="15.75" hidden="false" customHeight="true" outlineLevel="0" collapsed="false">
      <c r="A168" s="17"/>
      <c r="B168" s="18" t="s">
        <v>124</v>
      </c>
      <c r="C168" s="19" t="s">
        <v>20</v>
      </c>
      <c r="D168" s="19"/>
      <c r="E168" s="19" t="s">
        <v>88</v>
      </c>
      <c r="F168" s="20"/>
      <c r="G168" s="21" t="s">
        <v>22</v>
      </c>
      <c r="H168" s="114" t="n">
        <v>4</v>
      </c>
      <c r="I168" s="67" t="n">
        <v>1</v>
      </c>
      <c r="J168" s="67" t="n">
        <v>1</v>
      </c>
      <c r="K168" s="68" t="n">
        <f aca="false">L168+M168</f>
        <v>0</v>
      </c>
      <c r="L168" s="68"/>
      <c r="M168" s="68"/>
      <c r="N168" s="67" t="n">
        <v>5</v>
      </c>
      <c r="O168" s="68" t="n">
        <f aca="false">P168+Q168</f>
        <v>0</v>
      </c>
      <c r="P168" s="68"/>
      <c r="Q168" s="69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customFormat="false" ht="15.75" hidden="false" customHeight="true" outlineLevel="0" collapsed="false">
      <c r="A169" s="17"/>
      <c r="B169" s="18"/>
      <c r="C169" s="18"/>
      <c r="D169" s="18"/>
      <c r="E169" s="18"/>
      <c r="F169" s="42"/>
      <c r="G169" s="43" t="s">
        <v>23</v>
      </c>
      <c r="H169" s="126" t="n">
        <v>6</v>
      </c>
      <c r="I169" s="64" t="n">
        <v>2</v>
      </c>
      <c r="J169" s="64" t="n">
        <v>2</v>
      </c>
      <c r="K169" s="65" t="n">
        <v>3976.4</v>
      </c>
      <c r="L169" s="65" t="n">
        <v>3976.4</v>
      </c>
      <c r="M169" s="65"/>
      <c r="N169" s="64"/>
      <c r="O169" s="65" t="n">
        <f aca="false">P169+Q169</f>
        <v>0</v>
      </c>
      <c r="P169" s="65"/>
      <c r="Q169" s="66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customFormat="false" ht="15.75" hidden="false" customHeight="true" outlineLevel="0" collapsed="false">
      <c r="A170" s="17"/>
      <c r="B170" s="18" t="s">
        <v>208</v>
      </c>
      <c r="C170" s="19"/>
      <c r="D170" s="19"/>
      <c r="E170" s="127"/>
      <c r="F170" s="20"/>
      <c r="G170" s="21" t="s">
        <v>22</v>
      </c>
      <c r="H170" s="125" t="n">
        <v>4</v>
      </c>
      <c r="I170" s="67"/>
      <c r="J170" s="67"/>
      <c r="K170" s="68" t="n">
        <f aca="false">L170+M170</f>
        <v>0</v>
      </c>
      <c r="L170" s="68"/>
      <c r="M170" s="68"/>
      <c r="N170" s="67"/>
      <c r="O170" s="68" t="n">
        <f aca="false">P170+Q170</f>
        <v>0</v>
      </c>
      <c r="P170" s="68"/>
      <c r="Q170" s="69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customFormat="false" ht="15.75" hidden="false" customHeight="true" outlineLevel="0" collapsed="false">
      <c r="A171" s="17"/>
      <c r="B171" s="18"/>
      <c r="C171" s="18"/>
      <c r="D171" s="18"/>
      <c r="E171" s="128"/>
      <c r="F171" s="57"/>
      <c r="G171" s="27" t="s">
        <v>23</v>
      </c>
      <c r="H171" s="86" t="n">
        <v>3</v>
      </c>
      <c r="I171" s="58"/>
      <c r="J171" s="58"/>
      <c r="K171" s="59" t="n">
        <f aca="false">L171+M171</f>
        <v>0</v>
      </c>
      <c r="L171" s="59"/>
      <c r="M171" s="59"/>
      <c r="N171" s="58"/>
      <c r="O171" s="59" t="n">
        <f aca="false">P171+Q171</f>
        <v>0</v>
      </c>
      <c r="P171" s="59"/>
      <c r="Q171" s="60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customFormat="false" ht="15.75" hidden="false" customHeight="true" outlineLevel="0" collapsed="false">
      <c r="A172" s="33"/>
      <c r="B172" s="34" t="s">
        <v>125</v>
      </c>
      <c r="C172" s="35" t="s">
        <v>33</v>
      </c>
      <c r="D172" s="35" t="s">
        <v>126</v>
      </c>
      <c r="E172" s="35" t="s">
        <v>127</v>
      </c>
      <c r="F172" s="36"/>
      <c r="G172" s="37" t="s">
        <v>22</v>
      </c>
      <c r="H172" s="114" t="n">
        <v>6</v>
      </c>
      <c r="I172" s="61" t="n">
        <v>3</v>
      </c>
      <c r="J172" s="61" t="n">
        <v>3</v>
      </c>
      <c r="K172" s="62" t="n">
        <f aca="false">L172+M172</f>
        <v>0</v>
      </c>
      <c r="L172" s="62"/>
      <c r="M172" s="62"/>
      <c r="N172" s="61" t="n">
        <v>7</v>
      </c>
      <c r="O172" s="62" t="n">
        <f aca="false">P172+Q172</f>
        <v>11500.86</v>
      </c>
      <c r="P172" s="62" t="n">
        <v>11500.86</v>
      </c>
      <c r="Q172" s="63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customFormat="false" ht="15.75" hidden="false" customHeight="true" outlineLevel="0" collapsed="false">
      <c r="A173" s="33"/>
      <c r="B173" s="34"/>
      <c r="C173" s="34"/>
      <c r="D173" s="34"/>
      <c r="E173" s="34"/>
      <c r="F173" s="42"/>
      <c r="G173" s="43" t="s">
        <v>23</v>
      </c>
      <c r="H173" s="117" t="n">
        <v>21</v>
      </c>
      <c r="I173" s="64" t="n">
        <v>2</v>
      </c>
      <c r="J173" s="64" t="n">
        <v>2</v>
      </c>
      <c r="K173" s="65" t="n">
        <f aca="false">L173+M173</f>
        <v>0</v>
      </c>
      <c r="L173" s="65"/>
      <c r="M173" s="65"/>
      <c r="N173" s="64" t="n">
        <v>1</v>
      </c>
      <c r="O173" s="65" t="n">
        <v>1409.6</v>
      </c>
      <c r="P173" s="65" t="n">
        <v>1409.6</v>
      </c>
      <c r="Q173" s="66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customFormat="false" ht="15" hidden="false" customHeight="true" outlineLevel="0" collapsed="false">
      <c r="A174" s="17"/>
      <c r="B174" s="18" t="s">
        <v>128</v>
      </c>
      <c r="C174" s="19" t="s">
        <v>20</v>
      </c>
      <c r="D174" s="19"/>
      <c r="E174" s="19" t="s">
        <v>25</v>
      </c>
      <c r="F174" s="20"/>
      <c r="G174" s="21" t="s">
        <v>22</v>
      </c>
      <c r="H174" s="114" t="n">
        <v>13</v>
      </c>
      <c r="I174" s="67" t="n">
        <v>7</v>
      </c>
      <c r="J174" s="67" t="n">
        <v>7</v>
      </c>
      <c r="K174" s="68" t="n">
        <f aca="false">L174+M174</f>
        <v>1708.7</v>
      </c>
      <c r="L174" s="68" t="n">
        <v>1708.7</v>
      </c>
      <c r="M174" s="68"/>
      <c r="N174" s="67" t="n">
        <v>12</v>
      </c>
      <c r="O174" s="68" t="n">
        <f aca="false">P174+Q174</f>
        <v>5312.27</v>
      </c>
      <c r="P174" s="68" t="n">
        <v>5312.27</v>
      </c>
      <c r="Q174" s="69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57"/>
      <c r="G175" s="27" t="s">
        <v>26</v>
      </c>
      <c r="H175" s="115"/>
      <c r="I175" s="58"/>
      <c r="J175" s="58"/>
      <c r="K175" s="59" t="n">
        <f aca="false">L175+M175</f>
        <v>0</v>
      </c>
      <c r="L175" s="59"/>
      <c r="M175" s="59"/>
      <c r="N175" s="58"/>
      <c r="O175" s="59" t="n">
        <f aca="false">P175+Q175</f>
        <v>0</v>
      </c>
      <c r="P175" s="59"/>
      <c r="Q175" s="60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customFormat="false" ht="15.75" hidden="false" customHeight="true" outlineLevel="0" collapsed="false">
      <c r="A176" s="72"/>
      <c r="B176" s="73" t="s">
        <v>129</v>
      </c>
      <c r="C176" s="74" t="s">
        <v>38</v>
      </c>
      <c r="D176" s="74" t="s">
        <v>130</v>
      </c>
      <c r="E176" s="74" t="s">
        <v>25</v>
      </c>
      <c r="F176" s="20"/>
      <c r="G176" s="21" t="s">
        <v>22</v>
      </c>
      <c r="H176" s="114" t="n">
        <v>6</v>
      </c>
      <c r="I176" s="67" t="n">
        <v>5</v>
      </c>
      <c r="J176" s="67" t="n">
        <v>5</v>
      </c>
      <c r="K176" s="68" t="n">
        <f aca="false">L176+M176</f>
        <v>0</v>
      </c>
      <c r="L176" s="68"/>
      <c r="M176" s="68"/>
      <c r="N176" s="67" t="n">
        <v>1</v>
      </c>
      <c r="O176" s="68" t="n">
        <f aca="false">P176+Q176</f>
        <v>0</v>
      </c>
      <c r="P176" s="68"/>
      <c r="Q176" s="69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customFormat="false" ht="15.75" hidden="false" customHeight="true" outlineLevel="0" collapsed="false">
      <c r="A177" s="72"/>
      <c r="B177" s="73"/>
      <c r="C177" s="73"/>
      <c r="D177" s="73"/>
      <c r="E177" s="73"/>
      <c r="F177" s="42" t="s">
        <v>209</v>
      </c>
      <c r="G177" s="43" t="s">
        <v>26</v>
      </c>
      <c r="H177" s="115"/>
      <c r="I177" s="64"/>
      <c r="J177" s="64"/>
      <c r="K177" s="65" t="n">
        <v>1762</v>
      </c>
      <c r="L177" s="65" t="n">
        <v>1762</v>
      </c>
      <c r="M177" s="65"/>
      <c r="N177" s="64" t="n">
        <v>7</v>
      </c>
      <c r="O177" s="65" t="n">
        <f aca="false">P177+Q177</f>
        <v>0</v>
      </c>
      <c r="P177" s="65"/>
      <c r="Q177" s="66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customFormat="false" ht="16.5" hidden="false" customHeight="true" outlineLevel="0" collapsed="false">
      <c r="A178" s="17"/>
      <c r="B178" s="18" t="s">
        <v>131</v>
      </c>
      <c r="C178" s="19" t="s">
        <v>38</v>
      </c>
      <c r="D178" s="19" t="s">
        <v>130</v>
      </c>
      <c r="E178" s="19" t="s">
        <v>25</v>
      </c>
      <c r="F178" s="20"/>
      <c r="G178" s="21" t="s">
        <v>22</v>
      </c>
      <c r="H178" s="114" t="n">
        <v>7</v>
      </c>
      <c r="I178" s="67" t="n">
        <v>6</v>
      </c>
      <c r="J178" s="67" t="n">
        <v>8</v>
      </c>
      <c r="K178" s="68" t="n">
        <f aca="false">L178+M178</f>
        <v>5349.43</v>
      </c>
      <c r="L178" s="68" t="n">
        <v>5349.43</v>
      </c>
      <c r="M178" s="68"/>
      <c r="N178" s="67" t="n">
        <v>4</v>
      </c>
      <c r="O178" s="68" t="n">
        <f aca="false">P178+Q178</f>
        <v>1920.58</v>
      </c>
      <c r="P178" s="68" t="n">
        <v>1920.58</v>
      </c>
      <c r="Q178" s="69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customFormat="false" ht="16.5" hidden="false" customHeight="true" outlineLevel="0" collapsed="false">
      <c r="A179" s="17"/>
      <c r="B179" s="18"/>
      <c r="C179" s="18"/>
      <c r="D179" s="18"/>
      <c r="E179" s="18"/>
      <c r="F179" s="26" t="s">
        <v>210</v>
      </c>
      <c r="G179" s="27" t="s">
        <v>26</v>
      </c>
      <c r="H179" s="118" t="n">
        <v>2</v>
      </c>
      <c r="I179" s="58" t="n">
        <v>2</v>
      </c>
      <c r="J179" s="58" t="n">
        <v>2</v>
      </c>
      <c r="K179" s="59" t="n">
        <f aca="false">L179+M179</f>
        <v>0</v>
      </c>
      <c r="L179" s="59"/>
      <c r="M179" s="59"/>
      <c r="N179" s="58"/>
      <c r="O179" s="59" t="n">
        <f aca="false">P179+Q179</f>
        <v>0</v>
      </c>
      <c r="P179" s="59"/>
      <c r="Q179" s="96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customFormat="false" ht="16.5" hidden="false" customHeight="true" outlineLevel="0" collapsed="false">
      <c r="A180" s="33"/>
      <c r="B180" s="34" t="s">
        <v>132</v>
      </c>
      <c r="C180" s="35" t="s">
        <v>20</v>
      </c>
      <c r="D180" s="35"/>
      <c r="E180" s="35" t="s">
        <v>69</v>
      </c>
      <c r="F180" s="38"/>
      <c r="G180" s="21" t="s">
        <v>22</v>
      </c>
      <c r="H180" s="114" t="n">
        <v>5</v>
      </c>
      <c r="I180" s="61" t="n">
        <v>2</v>
      </c>
      <c r="J180" s="61" t="n">
        <v>2</v>
      </c>
      <c r="K180" s="62" t="n">
        <f aca="false">L180+M180</f>
        <v>0</v>
      </c>
      <c r="L180" s="62"/>
      <c r="M180" s="62"/>
      <c r="N180" s="61" t="n">
        <v>2</v>
      </c>
      <c r="O180" s="62" t="n">
        <f aca="false">P180+Q180</f>
        <v>0</v>
      </c>
      <c r="P180" s="62"/>
      <c r="Q180" s="63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customFormat="false" ht="16.5" hidden="false" customHeight="true" outlineLevel="0" collapsed="false">
      <c r="A181" s="33"/>
      <c r="B181" s="34"/>
      <c r="C181" s="34"/>
      <c r="D181" s="34"/>
      <c r="E181" s="34"/>
      <c r="F181" s="42" t="s">
        <v>211</v>
      </c>
      <c r="G181" s="43" t="s">
        <v>26</v>
      </c>
      <c r="H181" s="118" t="n">
        <v>5</v>
      </c>
      <c r="I181" s="64"/>
      <c r="J181" s="64"/>
      <c r="K181" s="65" t="n">
        <f aca="false">L181+M181</f>
        <v>0</v>
      </c>
      <c r="L181" s="65"/>
      <c r="M181" s="65"/>
      <c r="N181" s="64"/>
      <c r="O181" s="65" t="n">
        <f aca="false">P181+Q181</f>
        <v>0</v>
      </c>
      <c r="P181" s="65"/>
      <c r="Q181" s="66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customFormat="false" ht="16.5" hidden="false" customHeight="true" outlineLevel="0" collapsed="false">
      <c r="A182" s="72"/>
      <c r="B182" s="73" t="s">
        <v>133</v>
      </c>
      <c r="C182" s="74" t="s">
        <v>20</v>
      </c>
      <c r="D182" s="74"/>
      <c r="E182" s="74" t="s">
        <v>25</v>
      </c>
      <c r="F182" s="22"/>
      <c r="G182" s="21" t="s">
        <v>22</v>
      </c>
      <c r="H182" s="114" t="n">
        <v>1</v>
      </c>
      <c r="I182" s="67"/>
      <c r="J182" s="67"/>
      <c r="K182" s="68" t="n">
        <f aca="false">L182+M182</f>
        <v>0</v>
      </c>
      <c r="L182" s="68"/>
      <c r="M182" s="68"/>
      <c r="N182" s="67"/>
      <c r="O182" s="68" t="n">
        <f aca="false">P182+Q182</f>
        <v>0</v>
      </c>
      <c r="P182" s="68"/>
      <c r="Q182" s="69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customFormat="false" ht="16.5" hidden="false" customHeight="true" outlineLevel="0" collapsed="false">
      <c r="A183" s="72"/>
      <c r="B183" s="73"/>
      <c r="C183" s="73"/>
      <c r="D183" s="73"/>
      <c r="E183" s="73"/>
      <c r="F183" s="42" t="s">
        <v>212</v>
      </c>
      <c r="G183" s="43" t="s">
        <v>26</v>
      </c>
      <c r="H183" s="117" t="n">
        <v>4</v>
      </c>
      <c r="I183" s="64" t="n">
        <v>1</v>
      </c>
      <c r="J183" s="64" t="n">
        <v>1</v>
      </c>
      <c r="K183" s="65" t="n">
        <f aca="false">L183+M183</f>
        <v>0</v>
      </c>
      <c r="L183" s="65"/>
      <c r="M183" s="65"/>
      <c r="N183" s="64"/>
      <c r="O183" s="65" t="n">
        <f aca="false">P183+Q183</f>
        <v>0</v>
      </c>
      <c r="P183" s="65"/>
      <c r="Q183" s="66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customFormat="false" ht="16.5" hidden="false" customHeight="true" outlineLevel="0" collapsed="false">
      <c r="A184" s="72"/>
      <c r="B184" s="73" t="s">
        <v>134</v>
      </c>
      <c r="C184" s="74" t="s">
        <v>20</v>
      </c>
      <c r="D184" s="74"/>
      <c r="E184" s="74" t="s">
        <v>25</v>
      </c>
      <c r="F184" s="20"/>
      <c r="G184" s="21" t="s">
        <v>22</v>
      </c>
      <c r="H184" s="119"/>
      <c r="I184" s="67"/>
      <c r="J184" s="67"/>
      <c r="K184" s="68" t="n">
        <f aca="false">L184+M184</f>
        <v>0</v>
      </c>
      <c r="L184" s="68"/>
      <c r="M184" s="68"/>
      <c r="N184" s="67"/>
      <c r="O184" s="68" t="n">
        <f aca="false">P184+Q184</f>
        <v>0</v>
      </c>
      <c r="P184" s="68"/>
      <c r="Q184" s="69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customFormat="false" ht="15.75" hidden="false" customHeight="true" outlineLevel="0" collapsed="false">
      <c r="A185" s="72"/>
      <c r="B185" s="73"/>
      <c r="C185" s="73"/>
      <c r="D185" s="73"/>
      <c r="E185" s="73"/>
      <c r="F185" s="42" t="s">
        <v>213</v>
      </c>
      <c r="G185" s="43" t="s">
        <v>26</v>
      </c>
      <c r="H185" s="118" t="n">
        <v>1</v>
      </c>
      <c r="I185" s="64"/>
      <c r="J185" s="64"/>
      <c r="K185" s="65" t="n">
        <f aca="false">L185+M185</f>
        <v>0</v>
      </c>
      <c r="L185" s="65"/>
      <c r="M185" s="65"/>
      <c r="N185" s="64" t="n">
        <v>2</v>
      </c>
      <c r="O185" s="65" t="n">
        <f aca="false">P185+Q185</f>
        <v>0</v>
      </c>
      <c r="P185" s="65"/>
      <c r="Q185" s="66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customFormat="false" ht="15" hidden="false" customHeight="true" outlineLevel="0" collapsed="false">
      <c r="A186" s="17"/>
      <c r="B186" s="18" t="s">
        <v>135</v>
      </c>
      <c r="C186" s="19" t="s">
        <v>20</v>
      </c>
      <c r="D186" s="19"/>
      <c r="E186" s="19" t="s">
        <v>69</v>
      </c>
      <c r="F186" s="22"/>
      <c r="G186" s="21" t="s">
        <v>22</v>
      </c>
      <c r="H186" s="114" t="n">
        <v>6</v>
      </c>
      <c r="I186" s="67" t="n">
        <v>2</v>
      </c>
      <c r="J186" s="67" t="n">
        <v>2</v>
      </c>
      <c r="K186" s="68" t="n">
        <f aca="false">L186+M186</f>
        <v>0</v>
      </c>
      <c r="L186" s="68"/>
      <c r="M186" s="68"/>
      <c r="N186" s="67" t="n">
        <v>3</v>
      </c>
      <c r="O186" s="68" t="n">
        <f aca="false">P186+Q186</f>
        <v>0</v>
      </c>
      <c r="P186" s="68"/>
      <c r="Q186" s="69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customFormat="false" ht="15.75" hidden="false" customHeight="true" outlineLevel="0" collapsed="false">
      <c r="A187" s="17"/>
      <c r="B187" s="18"/>
      <c r="C187" s="18"/>
      <c r="D187" s="18"/>
      <c r="E187" s="18"/>
      <c r="F187" s="26"/>
      <c r="G187" s="27" t="s">
        <v>26</v>
      </c>
      <c r="H187" s="117" t="n">
        <v>1</v>
      </c>
      <c r="I187" s="58"/>
      <c r="J187" s="58"/>
      <c r="K187" s="59" t="n">
        <f aca="false">L187+M187</f>
        <v>0</v>
      </c>
      <c r="L187" s="59"/>
      <c r="M187" s="59"/>
      <c r="N187" s="58" t="n">
        <v>1</v>
      </c>
      <c r="O187" s="59" t="n">
        <f aca="false">P187+Q187</f>
        <v>0</v>
      </c>
      <c r="P187" s="59"/>
      <c r="Q187" s="60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customFormat="false" ht="15.75" hidden="false" customHeight="true" outlineLevel="0" collapsed="false">
      <c r="A188" s="33"/>
      <c r="B188" s="34" t="s">
        <v>136</v>
      </c>
      <c r="C188" s="35" t="s">
        <v>20</v>
      </c>
      <c r="D188" s="35"/>
      <c r="E188" s="35" t="s">
        <v>98</v>
      </c>
      <c r="F188" s="36"/>
      <c r="G188" s="21" t="s">
        <v>22</v>
      </c>
      <c r="H188" s="114" t="n">
        <v>10</v>
      </c>
      <c r="I188" s="61" t="n">
        <v>8</v>
      </c>
      <c r="J188" s="61" t="n">
        <v>9</v>
      </c>
      <c r="K188" s="62" t="n">
        <f aca="false">L188+M188</f>
        <v>0</v>
      </c>
      <c r="L188" s="62"/>
      <c r="M188" s="62"/>
      <c r="N188" s="61" t="n">
        <v>7</v>
      </c>
      <c r="O188" s="62" t="n">
        <f aca="false">P188+Q188</f>
        <v>0</v>
      </c>
      <c r="P188" s="62"/>
      <c r="Q188" s="63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customFormat="false" ht="15.75" hidden="false" customHeight="true" outlineLevel="0" collapsed="false">
      <c r="A189" s="33"/>
      <c r="B189" s="34"/>
      <c r="C189" s="34"/>
      <c r="D189" s="34"/>
      <c r="E189" s="34"/>
      <c r="F189" s="42"/>
      <c r="G189" s="43" t="s">
        <v>23</v>
      </c>
      <c r="H189" s="117" t="n">
        <v>5</v>
      </c>
      <c r="I189" s="64" t="n">
        <v>3</v>
      </c>
      <c r="J189" s="64" t="n">
        <v>3</v>
      </c>
      <c r="K189" s="65" t="n">
        <f aca="false">L189+M189</f>
        <v>0</v>
      </c>
      <c r="L189" s="65"/>
      <c r="M189" s="65"/>
      <c r="N189" s="64"/>
      <c r="O189" s="65" t="n">
        <f aca="false">P189+Q189</f>
        <v>0</v>
      </c>
      <c r="P189" s="65"/>
      <c r="Q189" s="66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customFormat="false" ht="15.75" hidden="false" customHeight="true" outlineLevel="0" collapsed="false">
      <c r="A190" s="17"/>
      <c r="B190" s="18" t="s">
        <v>137</v>
      </c>
      <c r="C190" s="19" t="s">
        <v>20</v>
      </c>
      <c r="D190" s="19"/>
      <c r="E190" s="19" t="s">
        <v>25</v>
      </c>
      <c r="F190" s="20"/>
      <c r="G190" s="21" t="s">
        <v>22</v>
      </c>
      <c r="H190" s="116"/>
      <c r="I190" s="67"/>
      <c r="J190" s="67"/>
      <c r="K190" s="68" t="n">
        <f aca="false">L190+M190</f>
        <v>0</v>
      </c>
      <c r="L190" s="68"/>
      <c r="M190" s="68"/>
      <c r="N190" s="67"/>
      <c r="O190" s="68" t="n">
        <f aca="false">P190+Q190</f>
        <v>0</v>
      </c>
      <c r="P190" s="68"/>
      <c r="Q190" s="69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customFormat="false" ht="20.25" hidden="false" customHeight="true" outlineLevel="0" collapsed="false">
      <c r="A191" s="17"/>
      <c r="B191" s="18"/>
      <c r="C191" s="18"/>
      <c r="D191" s="18"/>
      <c r="E191" s="18"/>
      <c r="F191" s="26"/>
      <c r="G191" s="27" t="s">
        <v>26</v>
      </c>
      <c r="H191" s="118" t="n">
        <v>4</v>
      </c>
      <c r="I191" s="58"/>
      <c r="J191" s="58"/>
      <c r="K191" s="59" t="n">
        <f aca="false">L191+M191</f>
        <v>0</v>
      </c>
      <c r="L191" s="59"/>
      <c r="M191" s="59"/>
      <c r="N191" s="58"/>
      <c r="O191" s="59" t="n">
        <f aca="false">P191+Q191</f>
        <v>0</v>
      </c>
      <c r="P191" s="59"/>
      <c r="Q191" s="60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customFormat="false" ht="15.75" hidden="false" customHeight="true" outlineLevel="0" collapsed="false">
      <c r="A192" s="54"/>
      <c r="B192" s="55" t="s">
        <v>138</v>
      </c>
      <c r="C192" s="56" t="s">
        <v>33</v>
      </c>
      <c r="D192" s="56" t="s">
        <v>139</v>
      </c>
      <c r="E192" s="56" t="s">
        <v>25</v>
      </c>
      <c r="F192" s="36"/>
      <c r="G192" s="21" t="s">
        <v>22</v>
      </c>
      <c r="H192" s="116"/>
      <c r="I192" s="61"/>
      <c r="J192" s="61"/>
      <c r="K192" s="62" t="n">
        <f aca="false">L192+M192</f>
        <v>0</v>
      </c>
      <c r="L192" s="62"/>
      <c r="M192" s="62"/>
      <c r="N192" s="61"/>
      <c r="O192" s="62" t="n">
        <f aca="false">P192+Q192</f>
        <v>0</v>
      </c>
      <c r="P192" s="62"/>
      <c r="Q192" s="63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customFormat="false" ht="15.75" hidden="false" customHeight="true" outlineLevel="0" collapsed="false">
      <c r="A193" s="54"/>
      <c r="B193" s="55"/>
      <c r="C193" s="55"/>
      <c r="D193" s="55"/>
      <c r="E193" s="55"/>
      <c r="F193" s="26" t="s">
        <v>214</v>
      </c>
      <c r="G193" s="27" t="s">
        <v>26</v>
      </c>
      <c r="H193" s="117" t="n">
        <v>4</v>
      </c>
      <c r="I193" s="58" t="n">
        <v>1</v>
      </c>
      <c r="J193" s="58" t="n">
        <v>1</v>
      </c>
      <c r="K193" s="59" t="n">
        <f aca="false">L193+M193</f>
        <v>0</v>
      </c>
      <c r="L193" s="59"/>
      <c r="M193" s="59"/>
      <c r="N193" s="58"/>
      <c r="O193" s="59" t="n">
        <f aca="false">P193+Q193</f>
        <v>0</v>
      </c>
      <c r="P193" s="59"/>
      <c r="Q193" s="60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customFormat="false" ht="15" hidden="false" customHeight="true" outlineLevel="0" collapsed="false">
      <c r="A194" s="33"/>
      <c r="B194" s="34" t="s">
        <v>140</v>
      </c>
      <c r="C194" s="35" t="s">
        <v>20</v>
      </c>
      <c r="D194" s="35"/>
      <c r="E194" s="35" t="s">
        <v>141</v>
      </c>
      <c r="F194" s="36"/>
      <c r="G194" s="21" t="s">
        <v>22</v>
      </c>
      <c r="H194" s="114" t="n">
        <v>2</v>
      </c>
      <c r="I194" s="61" t="n">
        <v>1</v>
      </c>
      <c r="J194" s="61" t="n">
        <v>1</v>
      </c>
      <c r="K194" s="62" t="n">
        <f aca="false">L194+M194</f>
        <v>0</v>
      </c>
      <c r="L194" s="62"/>
      <c r="M194" s="62"/>
      <c r="N194" s="61" t="n">
        <v>4</v>
      </c>
      <c r="O194" s="62" t="n">
        <f aca="false">P194+Q194</f>
        <v>0</v>
      </c>
      <c r="P194" s="62"/>
      <c r="Q194" s="63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customFormat="false" ht="15.75" hidden="false" customHeight="true" outlineLevel="0" collapsed="false">
      <c r="A195" s="33"/>
      <c r="B195" s="34"/>
      <c r="C195" s="34"/>
      <c r="D195" s="34"/>
      <c r="E195" s="34"/>
      <c r="F195" s="42" t="s">
        <v>215</v>
      </c>
      <c r="G195" s="43" t="s">
        <v>26</v>
      </c>
      <c r="H195" s="115"/>
      <c r="I195" s="64"/>
      <c r="J195" s="64"/>
      <c r="K195" s="65" t="n">
        <f aca="false">L195+M195</f>
        <v>0</v>
      </c>
      <c r="L195" s="65"/>
      <c r="M195" s="65"/>
      <c r="N195" s="64"/>
      <c r="O195" s="65" t="n">
        <f aca="false">P195+Q195</f>
        <v>0</v>
      </c>
      <c r="P195" s="65"/>
      <c r="Q195" s="66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customFormat="false" ht="15.75" hidden="false" customHeight="true" outlineLevel="0" collapsed="false">
      <c r="A196" s="17"/>
      <c r="B196" s="18" t="s">
        <v>142</v>
      </c>
      <c r="C196" s="19" t="s">
        <v>20</v>
      </c>
      <c r="D196" s="19"/>
      <c r="E196" s="19" t="s">
        <v>25</v>
      </c>
      <c r="F196" s="20"/>
      <c r="G196" s="21" t="s">
        <v>22</v>
      </c>
      <c r="H196" s="114" t="n">
        <v>3</v>
      </c>
      <c r="I196" s="67" t="n">
        <v>3</v>
      </c>
      <c r="J196" s="67" t="n">
        <v>3</v>
      </c>
      <c r="K196" s="68" t="n">
        <f aca="false">L196+M196</f>
        <v>0</v>
      </c>
      <c r="L196" s="68"/>
      <c r="M196" s="68"/>
      <c r="N196" s="67" t="n">
        <v>1</v>
      </c>
      <c r="O196" s="68" t="n">
        <f aca="false">P196+Q196</f>
        <v>0</v>
      </c>
      <c r="P196" s="68"/>
      <c r="Q196" s="69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customFormat="false" ht="15.75" hidden="false" customHeight="true" outlineLevel="0" collapsed="false">
      <c r="A197" s="17"/>
      <c r="B197" s="18"/>
      <c r="C197" s="18"/>
      <c r="D197" s="18"/>
      <c r="E197" s="18"/>
      <c r="F197" s="26" t="s">
        <v>216</v>
      </c>
      <c r="G197" s="27" t="s">
        <v>26</v>
      </c>
      <c r="H197" s="117" t="n">
        <v>4</v>
      </c>
      <c r="I197" s="58" t="n">
        <v>2</v>
      </c>
      <c r="J197" s="58" t="n">
        <v>2</v>
      </c>
      <c r="K197" s="59" t="n">
        <v>528.6</v>
      </c>
      <c r="L197" s="59" t="n">
        <v>528.6</v>
      </c>
      <c r="M197" s="59"/>
      <c r="N197" s="58" t="n">
        <v>5</v>
      </c>
      <c r="O197" s="59" t="n">
        <f aca="false">P197+Q197</f>
        <v>0</v>
      </c>
      <c r="P197" s="59"/>
      <c r="Q197" s="60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customFormat="false" ht="15.75" hidden="false" customHeight="true" outlineLevel="0" collapsed="false">
      <c r="A198" s="33"/>
      <c r="B198" s="34" t="s">
        <v>143</v>
      </c>
      <c r="C198" s="35" t="s">
        <v>20</v>
      </c>
      <c r="D198" s="35"/>
      <c r="E198" s="35" t="s">
        <v>25</v>
      </c>
      <c r="F198" s="36"/>
      <c r="G198" s="21" t="s">
        <v>22</v>
      </c>
      <c r="H198" s="116"/>
      <c r="I198" s="61"/>
      <c r="J198" s="61"/>
      <c r="K198" s="62" t="n">
        <f aca="false">L198+M198</f>
        <v>0</v>
      </c>
      <c r="L198" s="62"/>
      <c r="M198" s="62"/>
      <c r="N198" s="61"/>
      <c r="O198" s="62" t="n">
        <f aca="false">P198+Q198</f>
        <v>0</v>
      </c>
      <c r="P198" s="62"/>
      <c r="Q198" s="63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customFormat="false" ht="15.75" hidden="false" customHeight="true" outlineLevel="0" collapsed="false">
      <c r="A199" s="33"/>
      <c r="B199" s="34"/>
      <c r="C199" s="34"/>
      <c r="D199" s="34"/>
      <c r="E199" s="34"/>
      <c r="F199" s="42" t="s">
        <v>217</v>
      </c>
      <c r="G199" s="43" t="s">
        <v>26</v>
      </c>
      <c r="H199" s="117" t="n">
        <v>4</v>
      </c>
      <c r="I199" s="64"/>
      <c r="J199" s="64"/>
      <c r="K199" s="65" t="n">
        <f aca="false">L199+M199</f>
        <v>0</v>
      </c>
      <c r="L199" s="65"/>
      <c r="M199" s="65"/>
      <c r="N199" s="64" t="n">
        <v>4</v>
      </c>
      <c r="O199" s="65" t="n">
        <f aca="false">P199+Q199</f>
        <v>0</v>
      </c>
      <c r="P199" s="65"/>
      <c r="Q199" s="66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customFormat="false" ht="15.75" hidden="false" customHeight="true" outlineLevel="0" collapsed="false">
      <c r="A200" s="17"/>
      <c r="B200" s="18" t="s">
        <v>144</v>
      </c>
      <c r="C200" s="19" t="s">
        <v>20</v>
      </c>
      <c r="D200" s="19"/>
      <c r="E200" s="19" t="s">
        <v>81</v>
      </c>
      <c r="F200" s="20"/>
      <c r="G200" s="21" t="s">
        <v>22</v>
      </c>
      <c r="H200" s="114" t="n">
        <v>4</v>
      </c>
      <c r="I200" s="67"/>
      <c r="J200" s="67"/>
      <c r="K200" s="68" t="n">
        <f aca="false">L200+M200</f>
        <v>0</v>
      </c>
      <c r="L200" s="68"/>
      <c r="M200" s="68"/>
      <c r="N200" s="67" t="n">
        <v>2</v>
      </c>
      <c r="O200" s="68" t="n">
        <f aca="false">P200+Q200</f>
        <v>0</v>
      </c>
      <c r="P200" s="68"/>
      <c r="Q200" s="69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customFormat="false" ht="15.75" hidden="false" customHeight="true" outlineLevel="0" collapsed="false">
      <c r="A201" s="17"/>
      <c r="B201" s="18"/>
      <c r="C201" s="18"/>
      <c r="D201" s="18"/>
      <c r="E201" s="18"/>
      <c r="F201" s="26" t="s">
        <v>218</v>
      </c>
      <c r="G201" s="27" t="s">
        <v>26</v>
      </c>
      <c r="H201" s="117" t="n">
        <v>6</v>
      </c>
      <c r="I201" s="58"/>
      <c r="J201" s="58"/>
      <c r="K201" s="59" t="n">
        <f aca="false">L201+M201</f>
        <v>0</v>
      </c>
      <c r="L201" s="59"/>
      <c r="M201" s="59"/>
      <c r="N201" s="58" t="n">
        <v>1</v>
      </c>
      <c r="O201" s="59" t="n">
        <f aca="false">P201+Q201</f>
        <v>0</v>
      </c>
      <c r="P201" s="59"/>
      <c r="Q201" s="60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customFormat="false" ht="15" hidden="false" customHeight="true" outlineLevel="0" collapsed="false">
      <c r="A202" s="33"/>
      <c r="B202" s="34" t="s">
        <v>145</v>
      </c>
      <c r="C202" s="35" t="s">
        <v>20</v>
      </c>
      <c r="D202" s="35"/>
      <c r="E202" s="35" t="s">
        <v>98</v>
      </c>
      <c r="F202" s="36"/>
      <c r="G202" s="21" t="s">
        <v>22</v>
      </c>
      <c r="H202" s="116"/>
      <c r="I202" s="61"/>
      <c r="J202" s="61"/>
      <c r="K202" s="62" t="n">
        <f aca="false">L202+M202</f>
        <v>0</v>
      </c>
      <c r="L202" s="62"/>
      <c r="M202" s="62"/>
      <c r="N202" s="61"/>
      <c r="O202" s="62" t="n">
        <f aca="false">P202+Q202</f>
        <v>0</v>
      </c>
      <c r="P202" s="62"/>
      <c r="Q202" s="63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customFormat="false" ht="15.75" hidden="false" customHeight="true" outlineLevel="0" collapsed="false">
      <c r="A203" s="33"/>
      <c r="B203" s="34"/>
      <c r="C203" s="34"/>
      <c r="D203" s="34"/>
      <c r="E203" s="34"/>
      <c r="F203" s="71"/>
      <c r="G203" s="43" t="s">
        <v>23</v>
      </c>
      <c r="H203" s="115"/>
      <c r="I203" s="64"/>
      <c r="J203" s="64"/>
      <c r="K203" s="65" t="n">
        <f aca="false">L203+M203</f>
        <v>0</v>
      </c>
      <c r="L203" s="65"/>
      <c r="M203" s="65"/>
      <c r="N203" s="64"/>
      <c r="O203" s="65" t="n">
        <f aca="false">P203+Q203</f>
        <v>0</v>
      </c>
      <c r="P203" s="65"/>
      <c r="Q203" s="66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customFormat="false" ht="15" hidden="false" customHeight="true" outlineLevel="0" collapsed="false">
      <c r="A204" s="17"/>
      <c r="B204" s="18" t="s">
        <v>146</v>
      </c>
      <c r="C204" s="19" t="s">
        <v>20</v>
      </c>
      <c r="D204" s="19"/>
      <c r="E204" s="19" t="s">
        <v>25</v>
      </c>
      <c r="F204" s="22"/>
      <c r="G204" s="21" t="s">
        <v>22</v>
      </c>
      <c r="H204" s="114" t="n">
        <v>4</v>
      </c>
      <c r="I204" s="67" t="n">
        <v>3</v>
      </c>
      <c r="J204" s="67" t="n">
        <v>3</v>
      </c>
      <c r="K204" s="68" t="n">
        <f aca="false">L204+M204</f>
        <v>352.4</v>
      </c>
      <c r="L204" s="68" t="n">
        <v>352.4</v>
      </c>
      <c r="M204" s="68"/>
      <c r="N204" s="67"/>
      <c r="O204" s="68" t="n">
        <f aca="false">P204+Q204</f>
        <v>1546.68</v>
      </c>
      <c r="P204" s="68" t="n">
        <v>1546.68</v>
      </c>
      <c r="Q204" s="69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customFormat="false" ht="15.75" hidden="false" customHeight="true" outlineLevel="0" collapsed="false">
      <c r="A205" s="17"/>
      <c r="B205" s="18"/>
      <c r="C205" s="18"/>
      <c r="D205" s="18"/>
      <c r="E205" s="18"/>
      <c r="F205" s="26" t="s">
        <v>219</v>
      </c>
      <c r="G205" s="27" t="s">
        <v>26</v>
      </c>
      <c r="H205" s="115"/>
      <c r="I205" s="58"/>
      <c r="J205" s="58"/>
      <c r="K205" s="59" t="n">
        <v>1585.8</v>
      </c>
      <c r="L205" s="59" t="n">
        <v>1585.8</v>
      </c>
      <c r="M205" s="59"/>
      <c r="N205" s="58" t="n">
        <v>1</v>
      </c>
      <c r="O205" s="59" t="n">
        <f aca="false">P205+Q205</f>
        <v>0</v>
      </c>
      <c r="P205" s="59"/>
      <c r="Q205" s="60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customFormat="false" ht="15.75" hidden="false" customHeight="true" outlineLevel="0" collapsed="false">
      <c r="A206" s="54"/>
      <c r="B206" s="55" t="s">
        <v>147</v>
      </c>
      <c r="C206" s="56" t="s">
        <v>20</v>
      </c>
      <c r="D206" s="56"/>
      <c r="E206" s="56" t="s">
        <v>25</v>
      </c>
      <c r="F206" s="97"/>
      <c r="G206" s="21" t="s">
        <v>22</v>
      </c>
      <c r="H206" s="114" t="n">
        <v>3</v>
      </c>
      <c r="I206" s="61" t="n">
        <v>3</v>
      </c>
      <c r="J206" s="61" t="n">
        <v>3</v>
      </c>
      <c r="K206" s="62" t="n">
        <f aca="false">L206+M206</f>
        <v>0</v>
      </c>
      <c r="L206" s="62"/>
      <c r="M206" s="62"/>
      <c r="N206" s="61" t="n">
        <v>2</v>
      </c>
      <c r="O206" s="62" t="n">
        <f aca="false">P206+Q206</f>
        <v>0</v>
      </c>
      <c r="P206" s="62"/>
      <c r="Q206" s="63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customFormat="false" ht="15.75" hidden="false" customHeight="true" outlineLevel="0" collapsed="false">
      <c r="A207" s="54"/>
      <c r="B207" s="55"/>
      <c r="C207" s="55"/>
      <c r="D207" s="55"/>
      <c r="E207" s="55"/>
      <c r="F207" s="26" t="s">
        <v>220</v>
      </c>
      <c r="G207" s="27" t="s">
        <v>26</v>
      </c>
      <c r="H207" s="117" t="n">
        <v>5</v>
      </c>
      <c r="I207" s="58" t="n">
        <v>1</v>
      </c>
      <c r="J207" s="58" t="n">
        <v>1</v>
      </c>
      <c r="K207" s="59" t="n">
        <v>528.6</v>
      </c>
      <c r="L207" s="59" t="n">
        <v>528.6</v>
      </c>
      <c r="M207" s="59"/>
      <c r="N207" s="58" t="n">
        <v>4</v>
      </c>
      <c r="O207" s="59" t="n">
        <f aca="false">P207+Q207</f>
        <v>0</v>
      </c>
      <c r="P207" s="59"/>
      <c r="Q207" s="98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customFormat="false" ht="15" hidden="false" customHeight="true" outlineLevel="0" collapsed="false">
      <c r="A208" s="17"/>
      <c r="B208" s="18" t="s">
        <v>148</v>
      </c>
      <c r="C208" s="19" t="s">
        <v>20</v>
      </c>
      <c r="D208" s="19"/>
      <c r="E208" s="19" t="s">
        <v>21</v>
      </c>
      <c r="F208" s="22"/>
      <c r="G208" s="21" t="s">
        <v>22</v>
      </c>
      <c r="H208" s="114" t="n">
        <v>1</v>
      </c>
      <c r="I208" s="67" t="n">
        <v>1</v>
      </c>
      <c r="J208" s="67" t="n">
        <v>1</v>
      </c>
      <c r="K208" s="68" t="n">
        <f aca="false">L208+M208</f>
        <v>0</v>
      </c>
      <c r="L208" s="68"/>
      <c r="M208" s="68"/>
      <c r="N208" s="67"/>
      <c r="O208" s="68" t="n">
        <f aca="false">P208+Q208</f>
        <v>0</v>
      </c>
      <c r="P208" s="68"/>
      <c r="Q208" s="69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customFormat="false" ht="15.75" hidden="false" customHeight="true" outlineLevel="0" collapsed="false">
      <c r="A209" s="17"/>
      <c r="B209" s="18"/>
      <c r="C209" s="18"/>
      <c r="D209" s="18"/>
      <c r="E209" s="18"/>
      <c r="F209" s="26"/>
      <c r="G209" s="27" t="s">
        <v>23</v>
      </c>
      <c r="H209" s="117" t="n">
        <v>2</v>
      </c>
      <c r="I209" s="58"/>
      <c r="J209" s="58"/>
      <c r="K209" s="59" t="n">
        <f aca="false">L209+M209</f>
        <v>0</v>
      </c>
      <c r="L209" s="59"/>
      <c r="M209" s="59"/>
      <c r="N209" s="58" t="n">
        <v>1</v>
      </c>
      <c r="O209" s="59" t="n">
        <v>572.65</v>
      </c>
      <c r="P209" s="59" t="n">
        <v>572.65</v>
      </c>
      <c r="Q209" s="60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customFormat="false" ht="15.75" hidden="false" customHeight="true" outlineLevel="0" collapsed="false">
      <c r="A210" s="99"/>
      <c r="B210" s="100" t="s">
        <v>149</v>
      </c>
      <c r="C210" s="100"/>
      <c r="D210" s="100"/>
      <c r="E210" s="100"/>
      <c r="F210" s="100"/>
      <c r="G210" s="100"/>
      <c r="H210" s="100" t="n">
        <f aca="false">SUM(H9:H209)</f>
        <v>626</v>
      </c>
      <c r="I210" s="100" t="n">
        <f aca="false">SUM(I9:I209)</f>
        <v>262</v>
      </c>
      <c r="J210" s="100" t="n">
        <f aca="false">SUM(J9:J209)</f>
        <v>274</v>
      </c>
      <c r="K210" s="101" t="n">
        <f aca="false">SUM(K9:K209)</f>
        <v>69627.08</v>
      </c>
      <c r="L210" s="101" t="n">
        <f aca="false">SUM(L9:L209)</f>
        <v>68580.41</v>
      </c>
      <c r="M210" s="102" t="n">
        <f aca="false">SUM(M9:M209)</f>
        <v>1046.67</v>
      </c>
      <c r="N210" s="100" t="n">
        <f aca="false">SUM(N9:N209)</f>
        <v>362</v>
      </c>
      <c r="O210" s="102" t="n">
        <f aca="false">SUM(O9:O209)</f>
        <v>206912.14</v>
      </c>
      <c r="P210" s="102" t="n">
        <f aca="false">SUM(P9:P209)</f>
        <v>206912.14</v>
      </c>
      <c r="Q210" s="102" t="n">
        <f aca="false">SUM(Q9:Q209)</f>
        <v>0</v>
      </c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customFormat="false" ht="15" hidden="false" customHeight="false" outlineLevel="0" collapsed="false">
      <c r="A211" s="2"/>
      <c r="B211" s="2"/>
      <c r="C211" s="2"/>
      <c r="D211" s="2"/>
      <c r="E211" s="2"/>
      <c r="F211" s="2"/>
      <c r="G211" s="2"/>
      <c r="I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customFormat="false" ht="15" hidden="false" customHeight="fals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customFormat="false" ht="15" hidden="false" customHeight="true" outlineLevel="0" collapsed="false">
      <c r="A214" s="2"/>
      <c r="B214" s="2"/>
      <c r="C214" s="2"/>
      <c r="D214" s="2"/>
      <c r="E214" s="2"/>
      <c r="F214" s="103"/>
      <c r="G214" s="104" t="s">
        <v>5</v>
      </c>
      <c r="H214" s="104"/>
      <c r="I214" s="104"/>
      <c r="J214" s="104"/>
      <c r="K214" s="104"/>
      <c r="L214" s="104"/>
      <c r="M214" s="104" t="s">
        <v>6</v>
      </c>
      <c r="N214" s="104"/>
      <c r="O214" s="104"/>
      <c r="P214" s="104"/>
      <c r="Q214" s="105" t="s">
        <v>150</v>
      </c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103"/>
      <c r="G215" s="106" t="s">
        <v>13</v>
      </c>
      <c r="H215" s="106" t="s">
        <v>14</v>
      </c>
      <c r="I215" s="106" t="s">
        <v>15</v>
      </c>
      <c r="J215" s="106" t="s">
        <v>16</v>
      </c>
      <c r="K215" s="106" t="s">
        <v>17</v>
      </c>
      <c r="L215" s="106" t="s">
        <v>18</v>
      </c>
      <c r="M215" s="106" t="s">
        <v>15</v>
      </c>
      <c r="N215" s="106" t="s">
        <v>16</v>
      </c>
      <c r="O215" s="106" t="s">
        <v>17</v>
      </c>
      <c r="P215" s="106" t="s">
        <v>18</v>
      </c>
      <c r="Q215" s="105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customFormat="false" ht="15" hidden="false" customHeight="false" outlineLevel="0" collapsed="false">
      <c r="A216" s="2"/>
      <c r="B216" s="2"/>
      <c r="C216" s="2"/>
      <c r="D216" s="2"/>
      <c r="E216" s="2"/>
      <c r="F216" s="107" t="s">
        <v>22</v>
      </c>
      <c r="G216" s="108" t="n">
        <f aca="false">SUMIF($G$9:$G$209,$F$216,H9:H209)</f>
        <v>405</v>
      </c>
      <c r="H216" s="108" t="n">
        <f aca="false">SUMIF($G$9:$G$209,$F$216,I9:I209)</f>
        <v>215</v>
      </c>
      <c r="I216" s="108" t="n">
        <f aca="false">SUMIF($G$9:$G$209,$F$216,J9:J209)</f>
        <v>227</v>
      </c>
      <c r="J216" s="109" t="n">
        <f aca="false">SUMIF($G$9:$G$209,$F$216,K9:K209)</f>
        <v>50065.08</v>
      </c>
      <c r="K216" s="109" t="n">
        <f aca="false">SUMIF($G$9:$G$209,$F$216,L9:L209)</f>
        <v>49018.41</v>
      </c>
      <c r="L216" s="109" t="n">
        <f aca="false">SUMIF($G$9:$G$209,$F$216,M9:M209)</f>
        <v>1046.67</v>
      </c>
      <c r="M216" s="108" t="n">
        <f aca="false">SUMIF($G$9:$G$209,$F$216,N9:N209)</f>
        <v>252</v>
      </c>
      <c r="N216" s="109" t="n">
        <f aca="false">SUMIF($G$9:$G$209,$F$216,O9:O209)</f>
        <v>200981.59</v>
      </c>
      <c r="O216" s="109" t="n">
        <f aca="false">SUMIF($G$9:$G$209,$F$216,P9:P209)</f>
        <v>200981.59</v>
      </c>
      <c r="P216" s="109" t="n">
        <f aca="false">SUMIF($G$9:$G$209,$F$216,Q9:Q209)</f>
        <v>0</v>
      </c>
      <c r="Q216" s="110" t="n">
        <f aca="false">O216+K216</f>
        <v>250000</v>
      </c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107" t="s">
        <v>26</v>
      </c>
      <c r="G217" s="108" t="n">
        <f aca="false">SUMIF($G$9:$G$209,$F$217,H9:H209)</f>
        <v>131</v>
      </c>
      <c r="H217" s="108" t="n">
        <f aca="false">SUMIF($G$9:$G$209,$F$217,I9:I209)</f>
        <v>12</v>
      </c>
      <c r="I217" s="108" t="n">
        <f aca="false">SUMIF($G$9:$G$209,$F$217,J9:J209)</f>
        <v>12</v>
      </c>
      <c r="J217" s="109" t="n">
        <f aca="false">SUMIF($G$9:$G$209,$F$217,K9:K209)</f>
        <v>15585.6</v>
      </c>
      <c r="K217" s="109" t="n">
        <f aca="false">SUMIF($G$9:$G$209,$F$217,L9:L209)</f>
        <v>15585.6</v>
      </c>
      <c r="L217" s="109" t="n">
        <f aca="false">SUMIF($G$9:$G$209,$F$217,M9:M209)</f>
        <v>0</v>
      </c>
      <c r="M217" s="108" t="n">
        <f aca="false">SUMIF($G$9:$G$209,$F$217,N9:N209)</f>
        <v>102</v>
      </c>
      <c r="N217" s="109" t="n">
        <f aca="false">SUMIF($G$9:$G$209,$F$217,O9:O209)</f>
        <v>0</v>
      </c>
      <c r="O217" s="109" t="n">
        <f aca="false">SUMIF($G$9:$G$209,$F$217,P9:P209)</f>
        <v>0</v>
      </c>
      <c r="P217" s="109" t="n">
        <f aca="false">SUMIF($G$9:$G$209,$F$217,Q9:Q209)</f>
        <v>0</v>
      </c>
      <c r="Q217" s="110" t="n">
        <f aca="false">O217+K217</f>
        <v>15585.6</v>
      </c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107" t="s">
        <v>23</v>
      </c>
      <c r="G218" s="108" t="n">
        <f aca="false">SUMIF($G$9:$G$209,$F$218,H9:H209)</f>
        <v>90</v>
      </c>
      <c r="H218" s="108" t="n">
        <f aca="false">SUMIF($G$9:$G$209,$F$218,I9:I209)</f>
        <v>35</v>
      </c>
      <c r="I218" s="108" t="n">
        <f aca="false">SUMIF($G$9:$G$209,$F$218,J9:J209)</f>
        <v>35</v>
      </c>
      <c r="J218" s="109" t="n">
        <f aca="false">SUMIF($G$9:$G$209,$F$218,K9:K209)</f>
        <v>3976.4</v>
      </c>
      <c r="K218" s="109" t="n">
        <f aca="false">SUMIF($G$9:$G$209,$F$218,L9:L209)</f>
        <v>3976.4</v>
      </c>
      <c r="L218" s="109" t="n">
        <f aca="false">SUMIF($G$9:$G$209,$F$218,M9:M209)</f>
        <v>0</v>
      </c>
      <c r="M218" s="108" t="n">
        <f aca="false">SUMIF($G$9:$G$209,$F$218,N9:N209)</f>
        <v>8</v>
      </c>
      <c r="N218" s="109" t="n">
        <f aca="false">SUMIF($G$9:$G$209,$F$218,O9:O209)</f>
        <v>5930.55</v>
      </c>
      <c r="O218" s="109" t="n">
        <f aca="false">SUMIF($G$9:$G$209,$F$218,P9:P209)</f>
        <v>5930.55</v>
      </c>
      <c r="P218" s="109" t="n">
        <f aca="false">SUMIF($G$9:$G$209,$F$218,Q9:Q209)</f>
        <v>0</v>
      </c>
      <c r="Q218" s="110" t="n">
        <f aca="false">O218+K218</f>
        <v>9906.95</v>
      </c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111" t="n">
        <f aca="false">Q218+Q217+Q216</f>
        <v>275492.55</v>
      </c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customFormat="false" ht="15" hidden="false" customHeight="fals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customFormat="false" ht="15" hidden="false" customHeight="false" outlineLevel="0" collapsed="false">
      <c r="A222" s="2"/>
      <c r="B222" s="2"/>
      <c r="C222" s="2"/>
      <c r="D222" s="2"/>
      <c r="E222" s="2"/>
      <c r="F222" s="2"/>
      <c r="G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customFormat="false" ht="1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customFormat="false" ht="15" hidden="false" customHeight="fals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customFormat="false" ht="1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customFormat="false" ht="1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</sheetData>
  <mergeCells count="495">
    <mergeCell ref="A2:Q2"/>
    <mergeCell ref="A3:Q3"/>
    <mergeCell ref="A4:Q4"/>
    <mergeCell ref="B6:G6"/>
    <mergeCell ref="H6:M6"/>
    <mergeCell ref="N6:Q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9"/>
    <mergeCell ref="B87:B89"/>
    <mergeCell ref="C87:C89"/>
    <mergeCell ref="D87:D89"/>
    <mergeCell ref="E87:E89"/>
    <mergeCell ref="A90:A91"/>
    <mergeCell ref="B90:B91"/>
    <mergeCell ref="C90:C91"/>
    <mergeCell ref="D90:D91"/>
    <mergeCell ref="E90:E91"/>
    <mergeCell ref="A92:A93"/>
    <mergeCell ref="B92:B93"/>
    <mergeCell ref="C92:C93"/>
    <mergeCell ref="D92:D93"/>
    <mergeCell ref="E92:E93"/>
    <mergeCell ref="A94:A95"/>
    <mergeCell ref="B94:B95"/>
    <mergeCell ref="C94:C95"/>
    <mergeCell ref="D94:D95"/>
    <mergeCell ref="E94:E95"/>
    <mergeCell ref="A96:A97"/>
    <mergeCell ref="B96:B97"/>
    <mergeCell ref="C96:C97"/>
    <mergeCell ref="D96:D97"/>
    <mergeCell ref="E96:E97"/>
    <mergeCell ref="A98:A99"/>
    <mergeCell ref="B98:B99"/>
    <mergeCell ref="C98:C99"/>
    <mergeCell ref="D98:D99"/>
    <mergeCell ref="E98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8"/>
    <mergeCell ref="B106:B108"/>
    <mergeCell ref="C106:C108"/>
    <mergeCell ref="D106:D108"/>
    <mergeCell ref="E106:E108"/>
    <mergeCell ref="A109:A110"/>
    <mergeCell ref="B109:B110"/>
    <mergeCell ref="C109:C110"/>
    <mergeCell ref="D109:D110"/>
    <mergeCell ref="E109:E110"/>
    <mergeCell ref="A111:A112"/>
    <mergeCell ref="B111:B112"/>
    <mergeCell ref="C111:C112"/>
    <mergeCell ref="D111:D112"/>
    <mergeCell ref="E111:E112"/>
    <mergeCell ref="A113:A114"/>
    <mergeCell ref="B113:B114"/>
    <mergeCell ref="C113:C114"/>
    <mergeCell ref="D113:D114"/>
    <mergeCell ref="E113:E114"/>
    <mergeCell ref="A115:A116"/>
    <mergeCell ref="B115:B116"/>
    <mergeCell ref="C115:C116"/>
    <mergeCell ref="D115:D116"/>
    <mergeCell ref="E115:E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D120:D121"/>
    <mergeCell ref="E120:E121"/>
    <mergeCell ref="A122:A124"/>
    <mergeCell ref="B122:B124"/>
    <mergeCell ref="C122:C124"/>
    <mergeCell ref="D122:D124"/>
    <mergeCell ref="E122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A151:A153"/>
    <mergeCell ref="B151:B153"/>
    <mergeCell ref="C151:C153"/>
    <mergeCell ref="D151:D153"/>
    <mergeCell ref="E151:E153"/>
    <mergeCell ref="A154:A155"/>
    <mergeCell ref="B154:B155"/>
    <mergeCell ref="C154:C155"/>
    <mergeCell ref="D154:D155"/>
    <mergeCell ref="E154:E155"/>
    <mergeCell ref="A156:A157"/>
    <mergeCell ref="B156:B157"/>
    <mergeCell ref="C156:C157"/>
    <mergeCell ref="D156:D157"/>
    <mergeCell ref="E156:E157"/>
    <mergeCell ref="A158:A159"/>
    <mergeCell ref="B158:B159"/>
    <mergeCell ref="C158:C159"/>
    <mergeCell ref="D158:D159"/>
    <mergeCell ref="E158:E159"/>
    <mergeCell ref="B160:B161"/>
    <mergeCell ref="D160:D161"/>
    <mergeCell ref="A162:A163"/>
    <mergeCell ref="B162:B163"/>
    <mergeCell ref="C162:C163"/>
    <mergeCell ref="D162:D163"/>
    <mergeCell ref="E162:E163"/>
    <mergeCell ref="A164:A165"/>
    <mergeCell ref="B164:B165"/>
    <mergeCell ref="C164:C165"/>
    <mergeCell ref="D164:D165"/>
    <mergeCell ref="E164:E165"/>
    <mergeCell ref="A166:A167"/>
    <mergeCell ref="B166:B167"/>
    <mergeCell ref="C166:C167"/>
    <mergeCell ref="D166:D167"/>
    <mergeCell ref="E166:E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F214:F215"/>
    <mergeCell ref="G214:L214"/>
    <mergeCell ref="M214:P214"/>
    <mergeCell ref="Q214:Q215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C255"/>
  <sheetViews>
    <sheetView showFormulas="false" showGridLines="true" showRowColHeaders="true" showZeros="true" rightToLeft="false" tabSelected="false" showOutlineSymbols="true" defaultGridColor="true" view="normal" topLeftCell="A1" colorId="64" zoomScale="75" zoomScaleNormal="75" zoomScalePageLayoutView="100" workbookViewId="0">
      <pane xSplit="0" ySplit="8" topLeftCell="A9" activePane="bottomLeft" state="frozen"/>
      <selection pane="topLeft" activeCell="A1" activeCellId="0" sqref="A1"/>
      <selection pane="bottomLeft" activeCell="B10" activeCellId="0" sqref="B10"/>
    </sheetView>
  </sheetViews>
  <sheetFormatPr defaultRowHeight="15" zeroHeight="false" outlineLevelRow="0" outlineLevelCol="0"/>
  <cols>
    <col collapsed="false" customWidth="true" hidden="false" outlineLevel="0" max="1" min="1" style="0" width="3.99"/>
    <col collapsed="false" customWidth="true" hidden="false" outlineLevel="0" max="2" min="2" style="0" width="41.14"/>
    <col collapsed="false" customWidth="true" hidden="false" outlineLevel="0" max="3" min="3" style="0" width="11.3"/>
    <col collapsed="false" customWidth="true" hidden="false" outlineLevel="0" max="4" min="4" style="0" width="26.29"/>
    <col collapsed="false" customWidth="true" hidden="false" outlineLevel="0" max="5" min="5" style="0" width="16.43"/>
    <col collapsed="false" customWidth="true" hidden="false" outlineLevel="0" max="6" min="6" style="0" width="25.86"/>
    <col collapsed="false" customWidth="true" hidden="false" outlineLevel="0" max="7" min="7" style="0" width="22.86"/>
    <col collapsed="false" customWidth="true" hidden="false" outlineLevel="0" max="8" min="8" style="0" width="19.3"/>
    <col collapsed="false" customWidth="true" hidden="false" outlineLevel="0" max="9" min="9" style="0" width="11.86"/>
    <col collapsed="false" customWidth="true" hidden="false" outlineLevel="0" max="10" min="10" style="0" width="15"/>
    <col collapsed="false" customWidth="true" hidden="false" outlineLevel="0" max="12" min="11" style="0" width="14.57"/>
    <col collapsed="false" customWidth="true" hidden="false" outlineLevel="0" max="13" min="13" style="0" width="13.43"/>
    <col collapsed="false" customWidth="true" hidden="false" outlineLevel="0" max="14" min="14" style="0" width="13.57"/>
    <col collapsed="false" customWidth="true" hidden="false" outlineLevel="0" max="15" min="15" style="0" width="13.29"/>
    <col collapsed="false" customWidth="true" hidden="false" outlineLevel="0" max="17" min="16" style="0" width="14.43"/>
    <col collapsed="false" customWidth="true" hidden="false" outlineLevel="0" max="19" min="18" style="0" width="13.43"/>
    <col collapsed="false" customWidth="true" hidden="false" outlineLevel="0" max="29" min="20" style="0" width="9.13"/>
    <col collapsed="false" customWidth="true" hidden="false" outlineLevel="0" max="1025" min="30" style="0" width="14.43"/>
  </cols>
  <sheetData>
    <row r="1" customFormat="false" ht="15" hidden="false" customHeight="false" outlineLevel="0" collapsed="false">
      <c r="A1" s="1" t="s">
        <v>151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2"/>
      <c r="V1" s="2"/>
      <c r="W1" s="2"/>
      <c r="X1" s="2"/>
      <c r="Y1" s="2"/>
      <c r="Z1" s="2"/>
      <c r="AA1" s="2"/>
      <c r="AB1" s="2"/>
      <c r="AC1" s="2"/>
    </row>
    <row r="2" customFormat="false" ht="15" hidden="false" customHeight="true" outlineLevel="0" collapsed="false">
      <c r="A2" s="3" t="s">
        <v>0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4"/>
      <c r="U2" s="2"/>
      <c r="V2" s="2"/>
      <c r="W2" s="2"/>
      <c r="X2" s="2"/>
      <c r="Y2" s="2"/>
      <c r="Z2" s="2"/>
      <c r="AA2" s="2"/>
      <c r="AB2" s="2"/>
      <c r="AC2" s="2"/>
    </row>
    <row r="3" customFormat="false" ht="15" hidden="false" customHeight="false" outlineLevel="0" collapsed="false">
      <c r="A3" s="5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6"/>
      <c r="U3" s="2"/>
      <c r="V3" s="2"/>
      <c r="W3" s="2"/>
      <c r="X3" s="2"/>
      <c r="Y3" s="2"/>
      <c r="Z3" s="2"/>
      <c r="AA3" s="2"/>
      <c r="AB3" s="2"/>
      <c r="AC3" s="2"/>
    </row>
    <row r="4" customFormat="false" ht="12.75" hidden="false" customHeight="true" outlineLevel="0" collapsed="false">
      <c r="A4" s="7" t="s">
        <v>2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2"/>
      <c r="U4" s="2"/>
      <c r="V4" s="2"/>
      <c r="W4" s="2"/>
      <c r="X4" s="2"/>
      <c r="Y4" s="2"/>
      <c r="Z4" s="2"/>
      <c r="AA4" s="2"/>
      <c r="AB4" s="2"/>
      <c r="AC4" s="2"/>
    </row>
    <row r="5" customFormat="false" ht="15.75" hidden="false" customHeight="true" outlineLevel="0" collapsed="false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2"/>
      <c r="U5" s="2"/>
      <c r="V5" s="2"/>
      <c r="W5" s="2"/>
      <c r="X5" s="2"/>
      <c r="Y5" s="2"/>
      <c r="Z5" s="2"/>
      <c r="AA5" s="2"/>
      <c r="AB5" s="2"/>
      <c r="AC5" s="2"/>
    </row>
    <row r="6" customFormat="false" ht="48.75" hidden="false" customHeight="true" outlineLevel="0" collapsed="false">
      <c r="A6" s="8" t="s">
        <v>3</v>
      </c>
      <c r="B6" s="9" t="s">
        <v>4</v>
      </c>
      <c r="C6" s="9"/>
      <c r="D6" s="9"/>
      <c r="E6" s="9"/>
      <c r="F6" s="9"/>
      <c r="G6" s="9"/>
      <c r="H6" s="142" t="s">
        <v>5</v>
      </c>
      <c r="I6" s="142"/>
      <c r="J6" s="142"/>
      <c r="K6" s="142"/>
      <c r="L6" s="142"/>
      <c r="M6" s="142"/>
      <c r="N6" s="142"/>
      <c r="O6" s="142" t="s">
        <v>6</v>
      </c>
      <c r="P6" s="142"/>
      <c r="Q6" s="142"/>
      <c r="R6" s="142"/>
      <c r="S6" s="142"/>
      <c r="T6" s="2"/>
      <c r="U6" s="2"/>
      <c r="V6" s="2"/>
      <c r="W6" s="2"/>
      <c r="X6" s="2"/>
      <c r="Y6" s="2"/>
      <c r="Z6" s="2"/>
      <c r="AA6" s="2"/>
      <c r="AB6" s="2"/>
      <c r="AC6" s="2"/>
    </row>
    <row r="7" customFormat="false" ht="107.25" hidden="false" customHeight="true" outlineLevel="0" collapsed="false">
      <c r="A7" s="11"/>
      <c r="B7" s="12" t="s">
        <v>7</v>
      </c>
      <c r="C7" s="12" t="s">
        <v>8</v>
      </c>
      <c r="D7" s="12" t="s">
        <v>9</v>
      </c>
      <c r="E7" s="12" t="s">
        <v>10</v>
      </c>
      <c r="F7" s="12" t="s">
        <v>11</v>
      </c>
      <c r="G7" s="143" t="s">
        <v>12</v>
      </c>
      <c r="H7" s="144" t="s">
        <v>13</v>
      </c>
      <c r="I7" s="12" t="s">
        <v>14</v>
      </c>
      <c r="J7" s="12" t="s">
        <v>15</v>
      </c>
      <c r="K7" s="12" t="s">
        <v>226</v>
      </c>
      <c r="L7" s="12" t="s">
        <v>16</v>
      </c>
      <c r="M7" s="12" t="s">
        <v>17</v>
      </c>
      <c r="N7" s="13" t="s">
        <v>18</v>
      </c>
      <c r="O7" s="144" t="s">
        <v>15</v>
      </c>
      <c r="P7" s="12" t="s">
        <v>226</v>
      </c>
      <c r="Q7" s="12" t="s">
        <v>16</v>
      </c>
      <c r="R7" s="12" t="s">
        <v>17</v>
      </c>
      <c r="S7" s="13" t="s">
        <v>18</v>
      </c>
      <c r="T7" s="2"/>
      <c r="U7" s="2"/>
      <c r="V7" s="2"/>
      <c r="W7" s="2"/>
      <c r="X7" s="2"/>
      <c r="Y7" s="2"/>
      <c r="Z7" s="2"/>
      <c r="AA7" s="2"/>
      <c r="AB7" s="2"/>
      <c r="AC7" s="2"/>
    </row>
    <row r="8" customFormat="false" ht="15.75" hidden="false" customHeight="true" outlineLevel="0" collapsed="false">
      <c r="A8" s="14" t="n">
        <v>1</v>
      </c>
      <c r="B8" s="15" t="n">
        <f aca="false">A8+1</f>
        <v>2</v>
      </c>
      <c r="C8" s="15" t="n">
        <f aca="false">B8+1</f>
        <v>3</v>
      </c>
      <c r="D8" s="15" t="n">
        <f aca="false">C8+1</f>
        <v>4</v>
      </c>
      <c r="E8" s="15" t="n">
        <f aca="false">D8+1</f>
        <v>5</v>
      </c>
      <c r="F8" s="15" t="n">
        <f aca="false">E8+1</f>
        <v>6</v>
      </c>
      <c r="G8" s="145" t="n">
        <f aca="false">F8+1</f>
        <v>7</v>
      </c>
      <c r="H8" s="14" t="n">
        <f aca="false">G8+1</f>
        <v>8</v>
      </c>
      <c r="I8" s="15" t="n">
        <f aca="false">H8+1</f>
        <v>9</v>
      </c>
      <c r="J8" s="15" t="n">
        <f aca="false">I8+1</f>
        <v>10</v>
      </c>
      <c r="K8" s="15"/>
      <c r="L8" s="15" t="n">
        <f aca="false">J8+1</f>
        <v>11</v>
      </c>
      <c r="M8" s="15" t="n">
        <f aca="false">L8+1</f>
        <v>12</v>
      </c>
      <c r="N8" s="16" t="n">
        <f aca="false">M8+1</f>
        <v>13</v>
      </c>
      <c r="O8" s="14" t="n">
        <f aca="false">N8+1</f>
        <v>14</v>
      </c>
      <c r="P8" s="15"/>
      <c r="Q8" s="15" t="n">
        <f aca="false">O8+1</f>
        <v>15</v>
      </c>
      <c r="R8" s="15" t="n">
        <f aca="false">Q8+1</f>
        <v>16</v>
      </c>
      <c r="S8" s="16" t="n">
        <f aca="false">R8+1</f>
        <v>17</v>
      </c>
      <c r="T8" s="2"/>
      <c r="U8" s="2"/>
      <c r="V8" s="2"/>
      <c r="W8" s="2"/>
      <c r="X8" s="2"/>
      <c r="Y8" s="2"/>
      <c r="Z8" s="2"/>
      <c r="AA8" s="2"/>
      <c r="AB8" s="2"/>
      <c r="AC8" s="2"/>
    </row>
    <row r="9" customFormat="false" ht="15.75" hidden="false" customHeight="true" outlineLevel="0" collapsed="false">
      <c r="A9" s="17"/>
      <c r="B9" s="18" t="s">
        <v>19</v>
      </c>
      <c r="C9" s="19" t="s">
        <v>20</v>
      </c>
      <c r="D9" s="19"/>
      <c r="E9" s="19" t="s">
        <v>21</v>
      </c>
      <c r="F9" s="20"/>
      <c r="G9" s="146" t="s">
        <v>22</v>
      </c>
      <c r="H9" s="147" t="n">
        <v>3</v>
      </c>
      <c r="I9" s="148"/>
      <c r="J9" s="148"/>
      <c r="K9" s="149"/>
      <c r="L9" s="149" t="n">
        <f aca="false">M9+N9</f>
        <v>0</v>
      </c>
      <c r="M9" s="149"/>
      <c r="N9" s="150"/>
      <c r="O9" s="151" t="n">
        <v>4</v>
      </c>
      <c r="P9" s="149"/>
      <c r="Q9" s="149" t="n">
        <f aca="false">R9+S9</f>
        <v>0</v>
      </c>
      <c r="R9" s="149"/>
      <c r="S9" s="150"/>
      <c r="T9" s="2"/>
      <c r="U9" s="2"/>
      <c r="V9" s="2"/>
      <c r="W9" s="2"/>
      <c r="X9" s="2"/>
      <c r="Y9" s="2"/>
      <c r="Z9" s="2"/>
      <c r="AA9" s="2"/>
      <c r="AB9" s="2"/>
      <c r="AC9" s="2"/>
    </row>
    <row r="10" customFormat="false" ht="15.75" hidden="false" customHeight="true" outlineLevel="0" collapsed="false">
      <c r="A10" s="17"/>
      <c r="B10" s="18"/>
      <c r="C10" s="18"/>
      <c r="D10" s="18"/>
      <c r="E10" s="18"/>
      <c r="F10" s="26"/>
      <c r="G10" s="152" t="s">
        <v>23</v>
      </c>
      <c r="H10" s="153" t="n">
        <v>1</v>
      </c>
      <c r="I10" s="154"/>
      <c r="J10" s="154"/>
      <c r="K10" s="155"/>
      <c r="L10" s="155" t="n">
        <f aca="false">M10+N10</f>
        <v>0</v>
      </c>
      <c r="M10" s="155"/>
      <c r="N10" s="156"/>
      <c r="O10" s="157" t="n">
        <v>1</v>
      </c>
      <c r="P10" s="155" t="n">
        <v>776.7</v>
      </c>
      <c r="Q10" s="155" t="n">
        <v>776.7</v>
      </c>
      <c r="R10" s="155" t="n">
        <v>776.7</v>
      </c>
      <c r="S10" s="156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customFormat="false" ht="15.75" hidden="false" customHeight="true" outlineLevel="0" collapsed="false">
      <c r="A11" s="33"/>
      <c r="B11" s="34" t="s">
        <v>24</v>
      </c>
      <c r="C11" s="35" t="s">
        <v>20</v>
      </c>
      <c r="D11" s="35"/>
      <c r="E11" s="35" t="s">
        <v>25</v>
      </c>
      <c r="F11" s="36"/>
      <c r="G11" s="158" t="s">
        <v>22</v>
      </c>
      <c r="H11" s="159" t="n">
        <v>8</v>
      </c>
      <c r="I11" s="160" t="n">
        <v>6</v>
      </c>
      <c r="J11" s="160" t="n">
        <v>6</v>
      </c>
      <c r="K11" s="161" t="n">
        <v>5336.75</v>
      </c>
      <c r="L11" s="161" t="n">
        <f aca="false">M11+N11</f>
        <v>0</v>
      </c>
      <c r="M11" s="161"/>
      <c r="N11" s="162"/>
      <c r="O11" s="163" t="n">
        <v>3</v>
      </c>
      <c r="P11" s="161"/>
      <c r="Q11" s="161" t="n">
        <f aca="false">R11+S11</f>
        <v>0</v>
      </c>
      <c r="R11" s="161"/>
      <c r="S11" s="16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customFormat="false" ht="15.75" hidden="false" customHeight="true" outlineLevel="0" collapsed="false">
      <c r="A12" s="33"/>
      <c r="B12" s="34"/>
      <c r="C12" s="34"/>
      <c r="D12" s="34"/>
      <c r="E12" s="34"/>
      <c r="F12" s="42"/>
      <c r="G12" s="164" t="s">
        <v>26</v>
      </c>
      <c r="H12" s="153" t="n">
        <v>1</v>
      </c>
      <c r="I12" s="165"/>
      <c r="J12" s="165"/>
      <c r="K12" s="166"/>
      <c r="L12" s="166" t="n">
        <f aca="false">M12+N12</f>
        <v>0</v>
      </c>
      <c r="M12" s="166"/>
      <c r="N12" s="167"/>
      <c r="O12" s="168" t="n">
        <v>1</v>
      </c>
      <c r="P12" s="166" t="n">
        <v>1585.8</v>
      </c>
      <c r="Q12" s="166" t="n">
        <f aca="false">R12+S12</f>
        <v>0</v>
      </c>
      <c r="R12" s="166"/>
      <c r="S12" s="167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customFormat="false" ht="15.75" hidden="false" customHeight="true" outlineLevel="0" collapsed="false">
      <c r="A13" s="17"/>
      <c r="B13" s="18" t="s">
        <v>27</v>
      </c>
      <c r="C13" s="19" t="s">
        <v>20</v>
      </c>
      <c r="D13" s="49"/>
      <c r="E13" s="19" t="s">
        <v>25</v>
      </c>
      <c r="F13" s="22"/>
      <c r="G13" s="146" t="s">
        <v>22</v>
      </c>
      <c r="H13" s="159" t="n">
        <v>14</v>
      </c>
      <c r="I13" s="148" t="n">
        <v>10</v>
      </c>
      <c r="J13" s="148" t="n">
        <v>13</v>
      </c>
      <c r="K13" s="149" t="n">
        <v>13663.16</v>
      </c>
      <c r="L13" s="149" t="n">
        <f aca="false">M13+N13</f>
        <v>6935.84</v>
      </c>
      <c r="M13" s="149"/>
      <c r="N13" s="150" t="n">
        <v>6935.84</v>
      </c>
      <c r="O13" s="151" t="n">
        <v>2</v>
      </c>
      <c r="P13" s="149"/>
      <c r="Q13" s="149" t="n">
        <f aca="false">R13+S13</f>
        <v>7450.63</v>
      </c>
      <c r="R13" s="149" t="n">
        <v>2748.72</v>
      </c>
      <c r="S13" s="150" t="n">
        <v>4701.91</v>
      </c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customFormat="false" ht="15.75" hidden="false" customHeight="true" outlineLevel="0" collapsed="false">
      <c r="A14" s="17"/>
      <c r="B14" s="18"/>
      <c r="C14" s="18"/>
      <c r="D14" s="18"/>
      <c r="E14" s="18"/>
      <c r="F14" s="26" t="s">
        <v>159</v>
      </c>
      <c r="G14" s="152" t="s">
        <v>26</v>
      </c>
      <c r="H14" s="153" t="n">
        <v>2</v>
      </c>
      <c r="I14" s="154"/>
      <c r="J14" s="154"/>
      <c r="K14" s="155"/>
      <c r="L14" s="155" t="n">
        <v>3692.1</v>
      </c>
      <c r="M14" s="155" t="n">
        <v>3692.1</v>
      </c>
      <c r="N14" s="156"/>
      <c r="O14" s="157" t="n">
        <v>4</v>
      </c>
      <c r="P14" s="155" t="n">
        <v>5109.8</v>
      </c>
      <c r="Q14" s="155" t="n">
        <f aca="false">R14+S14</f>
        <v>0</v>
      </c>
      <c r="R14" s="155"/>
      <c r="S14" s="156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customFormat="false" ht="15" hidden="false" customHeight="true" outlineLevel="0" collapsed="false">
      <c r="A15" s="33"/>
      <c r="B15" s="34" t="s">
        <v>28</v>
      </c>
      <c r="C15" s="35" t="s">
        <v>20</v>
      </c>
      <c r="D15" s="35" t="s">
        <v>160</v>
      </c>
      <c r="E15" s="35" t="s">
        <v>25</v>
      </c>
      <c r="F15" s="36"/>
      <c r="G15" s="146" t="s">
        <v>22</v>
      </c>
      <c r="H15" s="169"/>
      <c r="I15" s="160"/>
      <c r="J15" s="160"/>
      <c r="K15" s="161"/>
      <c r="L15" s="161" t="n">
        <f aca="false">M15+N15</f>
        <v>0</v>
      </c>
      <c r="M15" s="161"/>
      <c r="N15" s="162"/>
      <c r="O15" s="163"/>
      <c r="P15" s="161"/>
      <c r="Q15" s="161" t="n">
        <f aca="false">R15+S15</f>
        <v>0</v>
      </c>
      <c r="R15" s="161"/>
      <c r="S15" s="16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customFormat="false" ht="15.75" hidden="false" customHeight="true" outlineLevel="0" collapsed="false">
      <c r="A16" s="33"/>
      <c r="B16" s="34"/>
      <c r="C16" s="34"/>
      <c r="D16" s="34"/>
      <c r="E16" s="34"/>
      <c r="F16" s="42" t="s">
        <v>161</v>
      </c>
      <c r="G16" s="170" t="s">
        <v>26</v>
      </c>
      <c r="H16" s="171" t="n">
        <v>2</v>
      </c>
      <c r="I16" s="165"/>
      <c r="J16" s="165"/>
      <c r="K16" s="166"/>
      <c r="L16" s="166" t="n">
        <f aca="false">M16+N16</f>
        <v>0</v>
      </c>
      <c r="M16" s="166"/>
      <c r="N16" s="167"/>
      <c r="O16" s="168" t="n">
        <v>2</v>
      </c>
      <c r="P16" s="166" t="n">
        <v>8545.7</v>
      </c>
      <c r="Q16" s="166" t="n">
        <f aca="false">R16+S16</f>
        <v>0</v>
      </c>
      <c r="R16" s="166"/>
      <c r="S16" s="167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customFormat="false" ht="15" hidden="false" customHeight="true" outlineLevel="0" collapsed="false">
      <c r="A17" s="17"/>
      <c r="B17" s="18" t="s">
        <v>29</v>
      </c>
      <c r="C17" s="19" t="s">
        <v>20</v>
      </c>
      <c r="D17" s="19" t="s">
        <v>30</v>
      </c>
      <c r="E17" s="19" t="s">
        <v>31</v>
      </c>
      <c r="F17" s="53"/>
      <c r="G17" s="146" t="s">
        <v>22</v>
      </c>
      <c r="H17" s="159" t="n">
        <v>6</v>
      </c>
      <c r="I17" s="148" t="n">
        <v>1</v>
      </c>
      <c r="J17" s="148" t="n">
        <v>1</v>
      </c>
      <c r="K17" s="149" t="n">
        <v>1133.85</v>
      </c>
      <c r="L17" s="149" t="n">
        <f aca="false">M17+N17</f>
        <v>0</v>
      </c>
      <c r="M17" s="149"/>
      <c r="N17" s="150"/>
      <c r="O17" s="151" t="n">
        <v>10</v>
      </c>
      <c r="P17" s="149"/>
      <c r="Q17" s="149" t="n">
        <f aca="false">R17+S17</f>
        <v>9903.11</v>
      </c>
      <c r="R17" s="149" t="n">
        <v>9903.11</v>
      </c>
      <c r="S17" s="150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customFormat="false" ht="15.75" hidden="false" customHeight="true" outlineLevel="0" collapsed="false">
      <c r="A18" s="17"/>
      <c r="B18" s="18"/>
      <c r="C18" s="18"/>
      <c r="D18" s="18"/>
      <c r="E18" s="18"/>
      <c r="F18" s="26"/>
      <c r="G18" s="152" t="s">
        <v>26</v>
      </c>
      <c r="H18" s="171" t="n">
        <v>2</v>
      </c>
      <c r="I18" s="154"/>
      <c r="J18" s="154"/>
      <c r="K18" s="155"/>
      <c r="L18" s="155" t="n">
        <f aca="false">M18+N18</f>
        <v>0</v>
      </c>
      <c r="M18" s="155"/>
      <c r="N18" s="156"/>
      <c r="O18" s="157"/>
      <c r="P18" s="155"/>
      <c r="Q18" s="155" t="n">
        <f aca="false">R18+S18</f>
        <v>0</v>
      </c>
      <c r="R18" s="155"/>
      <c r="S18" s="156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customFormat="false" ht="15.75" hidden="false" customHeight="true" outlineLevel="0" collapsed="false">
      <c r="A19" s="54"/>
      <c r="B19" s="55" t="s">
        <v>32</v>
      </c>
      <c r="C19" s="56" t="s">
        <v>33</v>
      </c>
      <c r="D19" s="56" t="s">
        <v>34</v>
      </c>
      <c r="E19" s="56" t="s">
        <v>35</v>
      </c>
      <c r="F19" s="36"/>
      <c r="G19" s="146" t="s">
        <v>22</v>
      </c>
      <c r="H19" s="159" t="n">
        <v>14</v>
      </c>
      <c r="I19" s="160" t="n">
        <v>9</v>
      </c>
      <c r="J19" s="160" t="n">
        <v>12</v>
      </c>
      <c r="K19" s="161" t="n">
        <v>13358.6</v>
      </c>
      <c r="L19" s="161" t="n">
        <f aca="false">M19+N19</f>
        <v>7998.6</v>
      </c>
      <c r="M19" s="161" t="n">
        <v>7998.6</v>
      </c>
      <c r="N19" s="162"/>
      <c r="O19" s="163" t="n">
        <v>10</v>
      </c>
      <c r="P19" s="161"/>
      <c r="Q19" s="161" t="n">
        <f aca="false">R19+S19</f>
        <v>13470.86</v>
      </c>
      <c r="R19" s="161" t="n">
        <v>13470.86</v>
      </c>
      <c r="S19" s="16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customFormat="false" ht="15.75" hidden="false" customHeight="true" outlineLevel="0" collapsed="false">
      <c r="A20" s="54"/>
      <c r="B20" s="55"/>
      <c r="C20" s="55"/>
      <c r="D20" s="55"/>
      <c r="E20" s="55"/>
      <c r="F20" s="71"/>
      <c r="G20" s="164" t="s">
        <v>23</v>
      </c>
      <c r="H20" s="172" t="n">
        <v>2</v>
      </c>
      <c r="I20" s="165"/>
      <c r="J20" s="165"/>
      <c r="K20" s="166"/>
      <c r="L20" s="166" t="n">
        <f aca="false">M20+N20</f>
        <v>0</v>
      </c>
      <c r="M20" s="166"/>
      <c r="N20" s="167"/>
      <c r="O20" s="168"/>
      <c r="P20" s="166"/>
      <c r="Q20" s="166" t="n">
        <f aca="false">R20+S20</f>
        <v>0</v>
      </c>
      <c r="R20" s="166"/>
      <c r="S20" s="167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customFormat="false" ht="15.75" hidden="false" customHeight="true" outlineLevel="0" collapsed="false">
      <c r="A21" s="17"/>
      <c r="B21" s="18" t="s">
        <v>162</v>
      </c>
      <c r="C21" s="19"/>
      <c r="D21" s="19"/>
      <c r="E21" s="19"/>
      <c r="F21" s="20"/>
      <c r="G21" s="146" t="s">
        <v>22</v>
      </c>
      <c r="H21" s="173" t="n">
        <v>2</v>
      </c>
      <c r="I21" s="148"/>
      <c r="J21" s="148"/>
      <c r="K21" s="149"/>
      <c r="L21" s="149" t="n">
        <f aca="false">M21+N21</f>
        <v>0</v>
      </c>
      <c r="M21" s="149"/>
      <c r="N21" s="150"/>
      <c r="O21" s="151"/>
      <c r="P21" s="149"/>
      <c r="Q21" s="149" t="n">
        <f aca="false">R21+S21</f>
        <v>0</v>
      </c>
      <c r="R21" s="149"/>
      <c r="S21" s="150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customFormat="false" ht="15.75" hidden="false" customHeight="true" outlineLevel="0" collapsed="false">
      <c r="A22" s="17"/>
      <c r="B22" s="18"/>
      <c r="C22" s="18"/>
      <c r="D22" s="18"/>
      <c r="E22" s="18"/>
      <c r="F22" s="57"/>
      <c r="G22" s="152" t="s">
        <v>26</v>
      </c>
      <c r="H22" s="174"/>
      <c r="I22" s="154"/>
      <c r="J22" s="154"/>
      <c r="K22" s="155"/>
      <c r="L22" s="155" t="n">
        <f aca="false">M22+N22</f>
        <v>0</v>
      </c>
      <c r="M22" s="155"/>
      <c r="N22" s="156"/>
      <c r="O22" s="157"/>
      <c r="P22" s="155"/>
      <c r="Q22" s="155" t="n">
        <f aca="false">R22+S22</f>
        <v>0</v>
      </c>
      <c r="R22" s="155"/>
      <c r="S22" s="156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customFormat="false" ht="15.75" hidden="false" customHeight="true" outlineLevel="0" collapsed="false">
      <c r="A23" s="33"/>
      <c r="B23" s="34" t="s">
        <v>36</v>
      </c>
      <c r="C23" s="35" t="s">
        <v>20</v>
      </c>
      <c r="D23" s="35"/>
      <c r="E23" s="35" t="s">
        <v>25</v>
      </c>
      <c r="F23" s="36"/>
      <c r="G23" s="158" t="s">
        <v>22</v>
      </c>
      <c r="H23" s="159" t="n">
        <v>10</v>
      </c>
      <c r="I23" s="160" t="n">
        <v>6</v>
      </c>
      <c r="J23" s="160" t="n">
        <v>7</v>
      </c>
      <c r="K23" s="161" t="n">
        <v>13086.19</v>
      </c>
      <c r="L23" s="161" t="n">
        <f aca="false">M23+N23</f>
        <v>10877.08</v>
      </c>
      <c r="M23" s="161" t="n">
        <v>2803.78</v>
      </c>
      <c r="N23" s="162" t="n">
        <v>8073.3</v>
      </c>
      <c r="O23" s="163" t="n">
        <v>5</v>
      </c>
      <c r="P23" s="161"/>
      <c r="Q23" s="161" t="n">
        <f aca="false">R23+S23</f>
        <v>9246.26</v>
      </c>
      <c r="R23" s="161" t="n">
        <v>2343.46</v>
      </c>
      <c r="S23" s="162" t="n">
        <v>6902.8</v>
      </c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customFormat="false" ht="15.75" hidden="false" customHeight="true" outlineLevel="0" collapsed="false">
      <c r="A24" s="33"/>
      <c r="B24" s="34"/>
      <c r="C24" s="34"/>
      <c r="D24" s="34"/>
      <c r="E24" s="34"/>
      <c r="F24" s="42" t="s">
        <v>163</v>
      </c>
      <c r="G24" s="164" t="s">
        <v>26</v>
      </c>
      <c r="H24" s="153" t="n">
        <v>3</v>
      </c>
      <c r="I24" s="165"/>
      <c r="J24" s="165"/>
      <c r="K24" s="166"/>
      <c r="L24" s="166" t="n">
        <f aca="false">M24+N24</f>
        <v>0</v>
      </c>
      <c r="M24" s="166"/>
      <c r="N24" s="167"/>
      <c r="O24" s="168" t="n">
        <v>6</v>
      </c>
      <c r="P24" s="166" t="n">
        <v>16386.6</v>
      </c>
      <c r="Q24" s="166" t="n">
        <f aca="false">R24+S24</f>
        <v>0</v>
      </c>
      <c r="R24" s="166"/>
      <c r="S24" s="167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customFormat="false" ht="15" hidden="false" customHeight="true" outlineLevel="0" collapsed="false">
      <c r="A25" s="17"/>
      <c r="B25" s="18" t="s">
        <v>37</v>
      </c>
      <c r="C25" s="19" t="s">
        <v>38</v>
      </c>
      <c r="D25" s="19" t="s">
        <v>39</v>
      </c>
      <c r="E25" s="19" t="s">
        <v>25</v>
      </c>
      <c r="F25" s="22"/>
      <c r="G25" s="146" t="s">
        <v>22</v>
      </c>
      <c r="H25" s="159" t="n">
        <v>1</v>
      </c>
      <c r="I25" s="148"/>
      <c r="J25" s="148"/>
      <c r="K25" s="149"/>
      <c r="L25" s="149" t="n">
        <f aca="false">M25+N25</f>
        <v>0</v>
      </c>
      <c r="M25" s="149"/>
      <c r="N25" s="150"/>
      <c r="O25" s="151" t="n">
        <v>3</v>
      </c>
      <c r="P25" s="149"/>
      <c r="Q25" s="149" t="n">
        <f aca="false">R25+S25</f>
        <v>3202.02</v>
      </c>
      <c r="R25" s="149" t="n">
        <v>3202.02</v>
      </c>
      <c r="S25" s="150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customFormat="false" ht="18.75" hidden="false" customHeight="true" outlineLevel="0" collapsed="false">
      <c r="A26" s="17"/>
      <c r="B26" s="18"/>
      <c r="C26" s="18"/>
      <c r="D26" s="18"/>
      <c r="E26" s="18"/>
      <c r="F26" s="42" t="s">
        <v>164</v>
      </c>
      <c r="G26" s="164" t="s">
        <v>26</v>
      </c>
      <c r="H26" s="175" t="n">
        <v>2</v>
      </c>
      <c r="I26" s="165"/>
      <c r="J26" s="165"/>
      <c r="K26" s="166"/>
      <c r="L26" s="166" t="n">
        <f aca="false">M26+N26</f>
        <v>0</v>
      </c>
      <c r="M26" s="166"/>
      <c r="N26" s="167"/>
      <c r="O26" s="168" t="n">
        <v>3</v>
      </c>
      <c r="P26" s="166" t="n">
        <v>11981.6</v>
      </c>
      <c r="Q26" s="166" t="n">
        <f aca="false">R26+S26</f>
        <v>0</v>
      </c>
      <c r="R26" s="166"/>
      <c r="S26" s="167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customFormat="false" ht="16.5" hidden="false" customHeight="true" outlineLevel="0" collapsed="false">
      <c r="A27" s="17"/>
      <c r="B27" s="18" t="s">
        <v>153</v>
      </c>
      <c r="C27" s="19"/>
      <c r="D27" s="19"/>
      <c r="E27" s="19"/>
      <c r="F27" s="20"/>
      <c r="G27" s="146" t="s">
        <v>22</v>
      </c>
      <c r="H27" s="147" t="n">
        <v>2</v>
      </c>
      <c r="I27" s="148"/>
      <c r="J27" s="148"/>
      <c r="K27" s="149"/>
      <c r="L27" s="149" t="n">
        <f aca="false">M27+N27</f>
        <v>0</v>
      </c>
      <c r="M27" s="149"/>
      <c r="N27" s="150"/>
      <c r="O27" s="151"/>
      <c r="P27" s="149"/>
      <c r="Q27" s="149" t="n">
        <f aca="false">R27+S27</f>
        <v>0</v>
      </c>
      <c r="R27" s="149"/>
      <c r="S27" s="150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customFormat="false" ht="16.5" hidden="false" customHeight="true" outlineLevel="0" collapsed="false">
      <c r="A28" s="17"/>
      <c r="B28" s="18"/>
      <c r="C28" s="18"/>
      <c r="D28" s="18"/>
      <c r="E28" s="18"/>
      <c r="F28" s="57"/>
      <c r="G28" s="152" t="s">
        <v>23</v>
      </c>
      <c r="H28" s="176" t="n">
        <v>1</v>
      </c>
      <c r="I28" s="154"/>
      <c r="J28" s="154"/>
      <c r="K28" s="155"/>
      <c r="L28" s="155" t="n">
        <f aca="false">M28+N28</f>
        <v>0</v>
      </c>
      <c r="M28" s="155"/>
      <c r="N28" s="156"/>
      <c r="O28" s="157"/>
      <c r="P28" s="155"/>
      <c r="Q28" s="155" t="n">
        <f aca="false">R28+S28</f>
        <v>0</v>
      </c>
      <c r="R28" s="155"/>
      <c r="S28" s="156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customFormat="false" ht="16.5" hidden="false" customHeight="true" outlineLevel="0" collapsed="false">
      <c r="A29" s="54"/>
      <c r="B29" s="55" t="s">
        <v>40</v>
      </c>
      <c r="C29" s="56" t="s">
        <v>38</v>
      </c>
      <c r="D29" s="56" t="s">
        <v>41</v>
      </c>
      <c r="E29" s="56" t="s">
        <v>42</v>
      </c>
      <c r="F29" s="36"/>
      <c r="G29" s="158" t="s">
        <v>22</v>
      </c>
      <c r="H29" s="169"/>
      <c r="I29" s="160"/>
      <c r="J29" s="160"/>
      <c r="K29" s="161"/>
      <c r="L29" s="161" t="n">
        <f aca="false">M29+N29</f>
        <v>0</v>
      </c>
      <c r="M29" s="161"/>
      <c r="N29" s="162"/>
      <c r="O29" s="163"/>
      <c r="P29" s="161"/>
      <c r="Q29" s="161" t="n">
        <f aca="false">R29+S29</f>
        <v>0</v>
      </c>
      <c r="R29" s="161"/>
      <c r="S29" s="16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customFormat="false" ht="16.5" hidden="false" customHeight="true" outlineLevel="0" collapsed="false">
      <c r="A30" s="54"/>
      <c r="B30" s="55"/>
      <c r="C30" s="55"/>
      <c r="D30" s="55"/>
      <c r="E30" s="55"/>
      <c r="F30" s="57"/>
      <c r="G30" s="152" t="s">
        <v>23</v>
      </c>
      <c r="H30" s="153"/>
      <c r="I30" s="154"/>
      <c r="J30" s="154"/>
      <c r="K30" s="155"/>
      <c r="L30" s="155" t="n">
        <f aca="false">M30+N30</f>
        <v>0</v>
      </c>
      <c r="M30" s="155"/>
      <c r="N30" s="156"/>
      <c r="O30" s="157"/>
      <c r="P30" s="155"/>
      <c r="Q30" s="155" t="n">
        <f aca="false">R30+S30</f>
        <v>0</v>
      </c>
      <c r="R30" s="155"/>
      <c r="S30" s="156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customFormat="false" ht="15.75" hidden="false" customHeight="true" outlineLevel="0" collapsed="false">
      <c r="A31" s="54"/>
      <c r="B31" s="55" t="s">
        <v>43</v>
      </c>
      <c r="C31" s="56" t="s">
        <v>33</v>
      </c>
      <c r="D31" s="56" t="s">
        <v>44</v>
      </c>
      <c r="E31" s="56" t="s">
        <v>45</v>
      </c>
      <c r="F31" s="36"/>
      <c r="G31" s="146" t="s">
        <v>22</v>
      </c>
      <c r="H31" s="159" t="n">
        <v>7</v>
      </c>
      <c r="I31" s="160" t="n">
        <v>3</v>
      </c>
      <c r="J31" s="160" t="n">
        <v>3</v>
      </c>
      <c r="K31" s="161" t="n">
        <v>4815.55</v>
      </c>
      <c r="L31" s="161" t="n">
        <f aca="false">M31+N31</f>
        <v>4815.55</v>
      </c>
      <c r="M31" s="161" t="n">
        <v>4815.55</v>
      </c>
      <c r="N31" s="162"/>
      <c r="O31" s="163" t="n">
        <v>7</v>
      </c>
      <c r="P31" s="161"/>
      <c r="Q31" s="161" t="n">
        <f aca="false">R31+S31</f>
        <v>17818.29</v>
      </c>
      <c r="R31" s="161" t="n">
        <v>17818.29</v>
      </c>
      <c r="S31" s="162"/>
      <c r="T31" s="2"/>
      <c r="U31" s="70"/>
      <c r="V31" s="70"/>
      <c r="W31" s="70"/>
      <c r="X31" s="70"/>
      <c r="Y31" s="70"/>
      <c r="Z31" s="70"/>
      <c r="AA31" s="70"/>
      <c r="AB31" s="70"/>
      <c r="AC31" s="70"/>
    </row>
    <row r="32" customFormat="false" ht="15.75" hidden="false" customHeight="true" outlineLevel="0" collapsed="false">
      <c r="A32" s="54"/>
      <c r="B32" s="55"/>
      <c r="C32" s="55"/>
      <c r="D32" s="55"/>
      <c r="E32" s="55"/>
      <c r="F32" s="26" t="s">
        <v>165</v>
      </c>
      <c r="G32" s="152" t="s">
        <v>26</v>
      </c>
      <c r="H32" s="153"/>
      <c r="I32" s="154"/>
      <c r="J32" s="154"/>
      <c r="K32" s="155"/>
      <c r="L32" s="155" t="n">
        <f aca="false">M32+N32</f>
        <v>0</v>
      </c>
      <c r="M32" s="155"/>
      <c r="N32" s="156"/>
      <c r="O32" s="157" t="n">
        <v>2</v>
      </c>
      <c r="P32" s="155" t="n">
        <v>7400.4</v>
      </c>
      <c r="Q32" s="155" t="n">
        <f aca="false">R32+S32</f>
        <v>0</v>
      </c>
      <c r="R32" s="155"/>
      <c r="S32" s="156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customFormat="false" ht="15" hidden="false" customHeight="true" outlineLevel="0" collapsed="false">
      <c r="A33" s="33"/>
      <c r="B33" s="34" t="s">
        <v>46</v>
      </c>
      <c r="C33" s="35" t="s">
        <v>20</v>
      </c>
      <c r="D33" s="35"/>
      <c r="E33" s="35" t="s">
        <v>25</v>
      </c>
      <c r="F33" s="36"/>
      <c r="G33" s="146" t="s">
        <v>22</v>
      </c>
      <c r="H33" s="159" t="n">
        <v>5</v>
      </c>
      <c r="I33" s="160" t="n">
        <v>2</v>
      </c>
      <c r="J33" s="160" t="n">
        <v>3</v>
      </c>
      <c r="K33" s="161" t="n">
        <v>3765.39</v>
      </c>
      <c r="L33" s="161" t="n">
        <f aca="false">M33+N33</f>
        <v>1924.1</v>
      </c>
      <c r="M33" s="161" t="n">
        <v>1924.1</v>
      </c>
      <c r="N33" s="162"/>
      <c r="O33" s="163" t="n">
        <v>11</v>
      </c>
      <c r="P33" s="161"/>
      <c r="Q33" s="161" t="n">
        <f aca="false">R33+S33</f>
        <v>15233.45</v>
      </c>
      <c r="R33" s="161" t="n">
        <v>15233.45</v>
      </c>
      <c r="S33" s="16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customFormat="false" ht="15.75" hidden="false" customHeight="true" outlineLevel="0" collapsed="false">
      <c r="A34" s="33"/>
      <c r="B34" s="34"/>
      <c r="C34" s="34"/>
      <c r="D34" s="34"/>
      <c r="E34" s="34"/>
      <c r="F34" s="71"/>
      <c r="G34" s="164" t="s">
        <v>26</v>
      </c>
      <c r="H34" s="153"/>
      <c r="I34" s="165"/>
      <c r="J34" s="165"/>
      <c r="K34" s="166"/>
      <c r="L34" s="166" t="n">
        <f aca="false">M34+N34</f>
        <v>0</v>
      </c>
      <c r="M34" s="166"/>
      <c r="N34" s="167"/>
      <c r="O34" s="168"/>
      <c r="P34" s="166"/>
      <c r="Q34" s="166" t="n">
        <f aca="false">R34+S34</f>
        <v>0</v>
      </c>
      <c r="R34" s="166"/>
      <c r="S34" s="167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customFormat="false" ht="15.75" hidden="false" customHeight="true" outlineLevel="0" collapsed="false">
      <c r="A35" s="72"/>
      <c r="B35" s="73" t="s">
        <v>47</v>
      </c>
      <c r="C35" s="74" t="s">
        <v>20</v>
      </c>
      <c r="D35" s="74" t="s">
        <v>166</v>
      </c>
      <c r="E35" s="75" t="s">
        <v>25</v>
      </c>
      <c r="F35" s="22"/>
      <c r="G35" s="146" t="s">
        <v>22</v>
      </c>
      <c r="H35" s="159" t="n">
        <v>1</v>
      </c>
      <c r="I35" s="148" t="n">
        <v>1</v>
      </c>
      <c r="J35" s="148" t="n">
        <v>1</v>
      </c>
      <c r="K35" s="149" t="n">
        <v>621.99</v>
      </c>
      <c r="L35" s="149" t="n">
        <f aca="false">M35+N35</f>
        <v>0</v>
      </c>
      <c r="M35" s="149"/>
      <c r="N35" s="150"/>
      <c r="O35" s="151"/>
      <c r="P35" s="149"/>
      <c r="Q35" s="149" t="n">
        <f aca="false">R35+S35</f>
        <v>0</v>
      </c>
      <c r="R35" s="149"/>
      <c r="S35" s="150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customFormat="false" ht="15.75" hidden="false" customHeight="true" outlineLevel="0" collapsed="false">
      <c r="A36" s="72"/>
      <c r="B36" s="73"/>
      <c r="C36" s="73"/>
      <c r="D36" s="73"/>
      <c r="E36" s="75"/>
      <c r="F36" s="42" t="s">
        <v>167</v>
      </c>
      <c r="G36" s="164" t="s">
        <v>26</v>
      </c>
      <c r="H36" s="171" t="n">
        <v>3</v>
      </c>
      <c r="I36" s="165"/>
      <c r="J36" s="165"/>
      <c r="K36" s="166"/>
      <c r="L36" s="166" t="n">
        <f aca="false">M36+N36</f>
        <v>0</v>
      </c>
      <c r="M36" s="166"/>
      <c r="N36" s="167"/>
      <c r="O36" s="168" t="n">
        <v>1</v>
      </c>
      <c r="P36" s="166" t="n">
        <v>8475.2</v>
      </c>
      <c r="Q36" s="166" t="n">
        <f aca="false">R36+S36</f>
        <v>0</v>
      </c>
      <c r="R36" s="166"/>
      <c r="S36" s="167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customFormat="false" ht="15.75" hidden="false" customHeight="true" outlineLevel="0" collapsed="false">
      <c r="A37" s="17"/>
      <c r="B37" s="18" t="s">
        <v>48</v>
      </c>
      <c r="C37" s="19" t="s">
        <v>20</v>
      </c>
      <c r="D37" s="19" t="s">
        <v>168</v>
      </c>
      <c r="E37" s="19" t="s">
        <v>25</v>
      </c>
      <c r="F37" s="20"/>
      <c r="G37" s="146" t="s">
        <v>22</v>
      </c>
      <c r="H37" s="169"/>
      <c r="I37" s="148"/>
      <c r="J37" s="148"/>
      <c r="K37" s="149"/>
      <c r="L37" s="149" t="n">
        <f aca="false">M37+N37</f>
        <v>0</v>
      </c>
      <c r="M37" s="149"/>
      <c r="N37" s="150"/>
      <c r="O37" s="151" t="n">
        <v>3</v>
      </c>
      <c r="P37" s="149"/>
      <c r="Q37" s="149" t="n">
        <f aca="false">R37+S37</f>
        <v>0</v>
      </c>
      <c r="R37" s="149"/>
      <c r="S37" s="150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customFormat="false" ht="15.75" hidden="false" customHeight="true" outlineLevel="0" collapsed="false">
      <c r="A38" s="17"/>
      <c r="B38" s="18"/>
      <c r="C38" s="18"/>
      <c r="D38" s="18"/>
      <c r="E38" s="18"/>
      <c r="F38" s="26" t="s">
        <v>169</v>
      </c>
      <c r="G38" s="152" t="s">
        <v>26</v>
      </c>
      <c r="H38" s="153" t="n">
        <v>2</v>
      </c>
      <c r="I38" s="154"/>
      <c r="J38" s="154"/>
      <c r="K38" s="155"/>
      <c r="L38" s="155" t="n">
        <v>528.6</v>
      </c>
      <c r="M38" s="155" t="n">
        <v>528.6</v>
      </c>
      <c r="N38" s="156"/>
      <c r="O38" s="157" t="n">
        <v>1</v>
      </c>
      <c r="P38" s="155"/>
      <c r="Q38" s="155" t="n">
        <f aca="false">R38+S38</f>
        <v>0</v>
      </c>
      <c r="R38" s="155"/>
      <c r="S38" s="156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customFormat="false" ht="15" hidden="false" customHeight="true" outlineLevel="0" collapsed="false">
      <c r="A39" s="54"/>
      <c r="B39" s="55" t="s">
        <v>49</v>
      </c>
      <c r="C39" s="56" t="s">
        <v>20</v>
      </c>
      <c r="D39" s="78"/>
      <c r="E39" s="56" t="s">
        <v>50</v>
      </c>
      <c r="F39" s="36"/>
      <c r="G39" s="146" t="s">
        <v>22</v>
      </c>
      <c r="H39" s="169"/>
      <c r="I39" s="160"/>
      <c r="J39" s="160"/>
      <c r="K39" s="161"/>
      <c r="L39" s="161" t="n">
        <f aca="false">M39+N39</f>
        <v>0</v>
      </c>
      <c r="M39" s="161"/>
      <c r="N39" s="162"/>
      <c r="O39" s="163"/>
      <c r="P39" s="161"/>
      <c r="Q39" s="161" t="n">
        <f aca="false">R39+S39</f>
        <v>0</v>
      </c>
      <c r="R39" s="161"/>
      <c r="S39" s="16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customFormat="false" ht="15.75" hidden="false" customHeight="true" outlineLevel="0" collapsed="false">
      <c r="A40" s="54"/>
      <c r="B40" s="55"/>
      <c r="C40" s="55"/>
      <c r="D40" s="55"/>
      <c r="E40" s="55"/>
      <c r="F40" s="57"/>
      <c r="G40" s="152" t="s">
        <v>26</v>
      </c>
      <c r="H40" s="153"/>
      <c r="I40" s="154"/>
      <c r="J40" s="154"/>
      <c r="K40" s="155"/>
      <c r="L40" s="155" t="n">
        <f aca="false">M40+N40</f>
        <v>0</v>
      </c>
      <c r="M40" s="155"/>
      <c r="N40" s="156"/>
      <c r="O40" s="157"/>
      <c r="P40" s="155"/>
      <c r="Q40" s="155" t="n">
        <f aca="false">R40+S40</f>
        <v>0</v>
      </c>
      <c r="R40" s="155"/>
      <c r="S40" s="156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customFormat="false" ht="15" hidden="false" customHeight="true" outlineLevel="0" collapsed="false">
      <c r="A41" s="33"/>
      <c r="B41" s="34" t="s">
        <v>51</v>
      </c>
      <c r="C41" s="35" t="s">
        <v>20</v>
      </c>
      <c r="D41" s="35"/>
      <c r="E41" s="35" t="s">
        <v>52</v>
      </c>
      <c r="F41" s="36"/>
      <c r="G41" s="146" t="s">
        <v>22</v>
      </c>
      <c r="H41" s="169" t="n">
        <v>1</v>
      </c>
      <c r="I41" s="160"/>
      <c r="J41" s="160"/>
      <c r="K41" s="161"/>
      <c r="L41" s="161" t="n">
        <f aca="false">M41+N41</f>
        <v>0</v>
      </c>
      <c r="M41" s="161"/>
      <c r="N41" s="162"/>
      <c r="O41" s="163" t="n">
        <v>1</v>
      </c>
      <c r="P41" s="161"/>
      <c r="Q41" s="161" t="n">
        <f aca="false">R41+S41</f>
        <v>5039.32</v>
      </c>
      <c r="R41" s="161" t="n">
        <v>5039.32</v>
      </c>
      <c r="S41" s="16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customFormat="false" ht="15.75" hidden="false" customHeight="true" outlineLevel="0" collapsed="false">
      <c r="A42" s="33"/>
      <c r="B42" s="34"/>
      <c r="C42" s="34"/>
      <c r="D42" s="34"/>
      <c r="E42" s="34"/>
      <c r="F42" s="71"/>
      <c r="G42" s="164" t="s">
        <v>26</v>
      </c>
      <c r="H42" s="175"/>
      <c r="I42" s="165"/>
      <c r="J42" s="165"/>
      <c r="K42" s="166"/>
      <c r="L42" s="166" t="n">
        <f aca="false">M42+N42</f>
        <v>0</v>
      </c>
      <c r="M42" s="166"/>
      <c r="N42" s="167"/>
      <c r="O42" s="168"/>
      <c r="P42" s="166"/>
      <c r="Q42" s="166" t="n">
        <f aca="false">R42+S42</f>
        <v>0</v>
      </c>
      <c r="R42" s="166"/>
      <c r="S42" s="167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customFormat="false" ht="15" hidden="false" customHeight="true" outlineLevel="0" collapsed="false">
      <c r="A43" s="17"/>
      <c r="B43" s="18" t="s">
        <v>154</v>
      </c>
      <c r="C43" s="19"/>
      <c r="D43" s="19" t="s">
        <v>170</v>
      </c>
      <c r="E43" s="19"/>
      <c r="F43" s="20"/>
      <c r="G43" s="146" t="s">
        <v>22</v>
      </c>
      <c r="H43" s="173" t="n">
        <v>30</v>
      </c>
      <c r="I43" s="148" t="n">
        <v>24</v>
      </c>
      <c r="J43" s="148" t="n">
        <v>24</v>
      </c>
      <c r="K43" s="149" t="n">
        <v>18123.34</v>
      </c>
      <c r="L43" s="149" t="n">
        <f aca="false">M43+N43</f>
        <v>14941.16</v>
      </c>
      <c r="M43" s="149"/>
      <c r="N43" s="150" t="n">
        <v>14941.16</v>
      </c>
      <c r="O43" s="151"/>
      <c r="P43" s="149"/>
      <c r="Q43" s="149" t="n">
        <f aca="false">R43+S43</f>
        <v>0</v>
      </c>
      <c r="R43" s="149"/>
      <c r="S43" s="150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customFormat="false" ht="15" hidden="false" customHeight="false" outlineLevel="0" collapsed="false">
      <c r="A44" s="17"/>
      <c r="B44" s="18"/>
      <c r="C44" s="18"/>
      <c r="D44" s="18"/>
      <c r="E44" s="18"/>
      <c r="F44" s="26" t="s">
        <v>171</v>
      </c>
      <c r="G44" s="152" t="s">
        <v>26</v>
      </c>
      <c r="H44" s="174" t="n">
        <v>3</v>
      </c>
      <c r="I44" s="154"/>
      <c r="J44" s="154"/>
      <c r="K44" s="155"/>
      <c r="L44" s="155" t="n">
        <f aca="false">M44+N44</f>
        <v>0</v>
      </c>
      <c r="M44" s="155"/>
      <c r="N44" s="156"/>
      <c r="O44" s="157"/>
      <c r="P44" s="155"/>
      <c r="Q44" s="155" t="n">
        <f aca="false">R44+S44</f>
        <v>0</v>
      </c>
      <c r="R44" s="155"/>
      <c r="S44" s="156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customFormat="false" ht="15" hidden="false" customHeight="true" outlineLevel="0" collapsed="false">
      <c r="A45" s="54"/>
      <c r="B45" s="55" t="s">
        <v>53</v>
      </c>
      <c r="C45" s="56" t="s">
        <v>33</v>
      </c>
      <c r="D45" s="56" t="s">
        <v>54</v>
      </c>
      <c r="E45" s="56" t="s">
        <v>42</v>
      </c>
      <c r="F45" s="36"/>
      <c r="G45" s="158" t="s">
        <v>22</v>
      </c>
      <c r="H45" s="159" t="n">
        <v>8</v>
      </c>
      <c r="I45" s="160" t="n">
        <v>4</v>
      </c>
      <c r="J45" s="160" t="n">
        <v>6</v>
      </c>
      <c r="K45" s="161" t="n">
        <v>7082.9</v>
      </c>
      <c r="L45" s="161" t="n">
        <f aca="false">M45+N45</f>
        <v>1830.37</v>
      </c>
      <c r="M45" s="161" t="n">
        <v>1830.37</v>
      </c>
      <c r="N45" s="162"/>
      <c r="O45" s="163" t="n">
        <v>11</v>
      </c>
      <c r="P45" s="161"/>
      <c r="Q45" s="161" t="n">
        <f aca="false">R45+S45</f>
        <v>34571.95</v>
      </c>
      <c r="R45" s="161" t="n">
        <v>34571.95</v>
      </c>
      <c r="S45" s="16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customFormat="false" ht="15.75" hidden="false" customHeight="true" outlineLevel="0" collapsed="false">
      <c r="A46" s="54"/>
      <c r="B46" s="55"/>
      <c r="C46" s="55"/>
      <c r="D46" s="55"/>
      <c r="E46" s="55"/>
      <c r="F46" s="57"/>
      <c r="G46" s="152" t="s">
        <v>23</v>
      </c>
      <c r="H46" s="153"/>
      <c r="I46" s="154"/>
      <c r="J46" s="154"/>
      <c r="K46" s="155"/>
      <c r="L46" s="155" t="n">
        <f aca="false">M46+N46</f>
        <v>0</v>
      </c>
      <c r="M46" s="155"/>
      <c r="N46" s="156"/>
      <c r="O46" s="157"/>
      <c r="P46" s="155"/>
      <c r="Q46" s="155" t="n">
        <f aca="false">R46+S46</f>
        <v>0</v>
      </c>
      <c r="R46" s="155"/>
      <c r="S46" s="156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customFormat="false" ht="15" hidden="false" customHeight="true" outlineLevel="0" collapsed="false">
      <c r="A47" s="33"/>
      <c r="B47" s="34" t="s">
        <v>55</v>
      </c>
      <c r="C47" s="35" t="s">
        <v>20</v>
      </c>
      <c r="D47" s="35"/>
      <c r="E47" s="35" t="s">
        <v>25</v>
      </c>
      <c r="F47" s="38"/>
      <c r="G47" s="146" t="s">
        <v>22</v>
      </c>
      <c r="H47" s="169"/>
      <c r="I47" s="160"/>
      <c r="J47" s="160"/>
      <c r="K47" s="161"/>
      <c r="L47" s="161" t="n">
        <f aca="false">M47+N47</f>
        <v>0</v>
      </c>
      <c r="M47" s="161"/>
      <c r="N47" s="162"/>
      <c r="O47" s="163" t="n">
        <v>1</v>
      </c>
      <c r="P47" s="161"/>
      <c r="Q47" s="161" t="n">
        <f aca="false">R47+S47</f>
        <v>3805.92</v>
      </c>
      <c r="R47" s="161"/>
      <c r="S47" s="162" t="n">
        <v>3805.92</v>
      </c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customFormat="false" ht="15.75" hidden="false" customHeight="true" outlineLevel="0" collapsed="false">
      <c r="A48" s="33"/>
      <c r="B48" s="34"/>
      <c r="C48" s="34"/>
      <c r="D48" s="34"/>
      <c r="E48" s="34"/>
      <c r="F48" s="42" t="s">
        <v>172</v>
      </c>
      <c r="G48" s="164" t="s">
        <v>26</v>
      </c>
      <c r="H48" s="171" t="n">
        <v>3</v>
      </c>
      <c r="I48" s="165"/>
      <c r="J48" s="165"/>
      <c r="K48" s="166"/>
      <c r="L48" s="166" t="n">
        <v>1409.6</v>
      </c>
      <c r="M48" s="166" t="n">
        <v>1409.6</v>
      </c>
      <c r="N48" s="167"/>
      <c r="O48" s="168" t="n">
        <v>6</v>
      </c>
      <c r="P48" s="166" t="n">
        <v>12631.49</v>
      </c>
      <c r="Q48" s="166" t="n">
        <f aca="false">R48+S48</f>
        <v>0</v>
      </c>
      <c r="R48" s="166"/>
      <c r="S48" s="167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customFormat="false" ht="15.75" hidden="false" customHeight="true" outlineLevel="0" collapsed="false">
      <c r="A49" s="17"/>
      <c r="B49" s="18" t="s">
        <v>56</v>
      </c>
      <c r="C49" s="19" t="s">
        <v>33</v>
      </c>
      <c r="D49" s="19" t="s">
        <v>57</v>
      </c>
      <c r="E49" s="19" t="s">
        <v>25</v>
      </c>
      <c r="F49" s="20"/>
      <c r="G49" s="146" t="s">
        <v>22</v>
      </c>
      <c r="H49" s="159" t="n">
        <v>1</v>
      </c>
      <c r="I49" s="148"/>
      <c r="J49" s="148"/>
      <c r="K49" s="149"/>
      <c r="L49" s="149" t="n">
        <f aca="false">M49+N49</f>
        <v>0</v>
      </c>
      <c r="M49" s="149"/>
      <c r="N49" s="150"/>
      <c r="O49" s="151"/>
      <c r="P49" s="149"/>
      <c r="Q49" s="149" t="n">
        <f aca="false">R49+S49</f>
        <v>0</v>
      </c>
      <c r="R49" s="149"/>
      <c r="S49" s="150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customFormat="false" ht="15.75" hidden="false" customHeight="true" outlineLevel="0" collapsed="false">
      <c r="A50" s="17"/>
      <c r="B50" s="18"/>
      <c r="C50" s="18"/>
      <c r="D50" s="18"/>
      <c r="E50" s="18"/>
      <c r="F50" s="42"/>
      <c r="G50" s="164" t="s">
        <v>26</v>
      </c>
      <c r="H50" s="175"/>
      <c r="I50" s="165"/>
      <c r="J50" s="165"/>
      <c r="K50" s="166"/>
      <c r="L50" s="166" t="n">
        <f aca="false">M50+N50</f>
        <v>0</v>
      </c>
      <c r="M50" s="166"/>
      <c r="N50" s="167"/>
      <c r="O50" s="168"/>
      <c r="P50" s="166"/>
      <c r="Q50" s="166" t="n">
        <f aca="false">R50+S50</f>
        <v>0</v>
      </c>
      <c r="R50" s="166"/>
      <c r="S50" s="167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customFormat="false" ht="15" hidden="false" customHeight="true" outlineLevel="0" collapsed="false">
      <c r="A51" s="17"/>
      <c r="B51" s="18" t="s">
        <v>155</v>
      </c>
      <c r="C51" s="19"/>
      <c r="D51" s="19"/>
      <c r="E51" s="19"/>
      <c r="F51" s="20"/>
      <c r="G51" s="146" t="s">
        <v>22</v>
      </c>
      <c r="H51" s="173" t="n">
        <v>5</v>
      </c>
      <c r="I51" s="148" t="n">
        <v>3</v>
      </c>
      <c r="J51" s="148" t="n">
        <v>3</v>
      </c>
      <c r="K51" s="149" t="n">
        <v>1638.66</v>
      </c>
      <c r="L51" s="149" t="n">
        <f aca="false">M51+N51</f>
        <v>0</v>
      </c>
      <c r="M51" s="149"/>
      <c r="N51" s="150"/>
      <c r="O51" s="151"/>
      <c r="P51" s="149"/>
      <c r="Q51" s="149" t="n">
        <f aca="false">R51+S51</f>
        <v>0</v>
      </c>
      <c r="R51" s="149"/>
      <c r="S51" s="150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customFormat="false" ht="15" hidden="false" customHeight="false" outlineLevel="0" collapsed="false">
      <c r="A52" s="17"/>
      <c r="B52" s="18"/>
      <c r="C52" s="18"/>
      <c r="D52" s="18"/>
      <c r="E52" s="18"/>
      <c r="F52" s="71"/>
      <c r="G52" s="164" t="s">
        <v>26</v>
      </c>
      <c r="H52" s="177"/>
      <c r="I52" s="165"/>
      <c r="J52" s="165"/>
      <c r="K52" s="166"/>
      <c r="L52" s="166" t="n">
        <f aca="false">M52+N52</f>
        <v>0</v>
      </c>
      <c r="M52" s="166"/>
      <c r="N52" s="167"/>
      <c r="O52" s="168"/>
      <c r="P52" s="166"/>
      <c r="Q52" s="166" t="n">
        <f aca="false">R52+S52</f>
        <v>0</v>
      </c>
      <c r="R52" s="166"/>
      <c r="S52" s="167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customFormat="false" ht="15" hidden="false" customHeight="true" outlineLevel="0" collapsed="false">
      <c r="A53" s="17"/>
      <c r="B53" s="18" t="s">
        <v>221</v>
      </c>
      <c r="C53" s="19"/>
      <c r="D53" s="19"/>
      <c r="E53" s="19"/>
      <c r="F53" s="20"/>
      <c r="G53" s="146" t="s">
        <v>22</v>
      </c>
      <c r="H53" s="173" t="n">
        <v>4</v>
      </c>
      <c r="I53" s="148"/>
      <c r="J53" s="148"/>
      <c r="K53" s="149"/>
      <c r="L53" s="149" t="n">
        <f aca="false">M53+N53</f>
        <v>0</v>
      </c>
      <c r="M53" s="149"/>
      <c r="N53" s="150"/>
      <c r="O53" s="151"/>
      <c r="P53" s="149"/>
      <c r="Q53" s="149" t="n">
        <f aca="false">R53+S53</f>
        <v>0</v>
      </c>
      <c r="R53" s="149"/>
      <c r="S53" s="150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customFormat="false" ht="15" hidden="false" customHeight="false" outlineLevel="0" collapsed="false">
      <c r="A54" s="17"/>
      <c r="B54" s="18"/>
      <c r="C54" s="18"/>
      <c r="D54" s="18"/>
      <c r="E54" s="18"/>
      <c r="F54" s="57"/>
      <c r="G54" s="152" t="s">
        <v>26</v>
      </c>
      <c r="H54" s="174"/>
      <c r="I54" s="154"/>
      <c r="J54" s="154"/>
      <c r="K54" s="155"/>
      <c r="L54" s="155" t="n">
        <f aca="false">M54+N54</f>
        <v>0</v>
      </c>
      <c r="M54" s="155"/>
      <c r="N54" s="156"/>
      <c r="O54" s="157"/>
      <c r="P54" s="155"/>
      <c r="Q54" s="155" t="n">
        <f aca="false">R54+S54</f>
        <v>0</v>
      </c>
      <c r="R54" s="155"/>
      <c r="S54" s="156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customFormat="false" ht="15" hidden="false" customHeight="true" outlineLevel="0" collapsed="false">
      <c r="A55" s="33"/>
      <c r="B55" s="34" t="s">
        <v>58</v>
      </c>
      <c r="C55" s="35" t="s">
        <v>20</v>
      </c>
      <c r="D55" s="35"/>
      <c r="E55" s="35" t="s">
        <v>52</v>
      </c>
      <c r="F55" s="36"/>
      <c r="G55" s="158" t="s">
        <v>22</v>
      </c>
      <c r="H55" s="159" t="n">
        <v>5</v>
      </c>
      <c r="I55" s="160" t="n">
        <v>2</v>
      </c>
      <c r="J55" s="160" t="n">
        <v>2</v>
      </c>
      <c r="K55" s="161" t="n">
        <v>2238.62</v>
      </c>
      <c r="L55" s="161" t="n">
        <f aca="false">M55+N55</f>
        <v>2238.62</v>
      </c>
      <c r="M55" s="161"/>
      <c r="N55" s="162" t="n">
        <v>2238.62</v>
      </c>
      <c r="O55" s="163" t="n">
        <v>3</v>
      </c>
      <c r="P55" s="161"/>
      <c r="Q55" s="161" t="n">
        <f aca="false">R55+S55</f>
        <v>11963.05</v>
      </c>
      <c r="R55" s="161" t="n">
        <v>2459.75</v>
      </c>
      <c r="S55" s="162" t="n">
        <v>9503.3</v>
      </c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customFormat="false" ht="15.75" hidden="false" customHeight="true" outlineLevel="0" collapsed="false">
      <c r="A56" s="33"/>
      <c r="B56" s="34"/>
      <c r="C56" s="34"/>
      <c r="D56" s="34"/>
      <c r="E56" s="34"/>
      <c r="F56" s="71"/>
      <c r="G56" s="164" t="s">
        <v>26</v>
      </c>
      <c r="H56" s="175"/>
      <c r="I56" s="165"/>
      <c r="J56" s="165"/>
      <c r="K56" s="166"/>
      <c r="L56" s="166" t="n">
        <f aca="false">M56+N56</f>
        <v>0</v>
      </c>
      <c r="M56" s="166"/>
      <c r="N56" s="167"/>
      <c r="O56" s="168"/>
      <c r="P56" s="166"/>
      <c r="Q56" s="166" t="n">
        <f aca="false">R56+S56</f>
        <v>0</v>
      </c>
      <c r="R56" s="166"/>
      <c r="S56" s="167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customFormat="false" ht="15" hidden="false" customHeight="true" outlineLevel="0" collapsed="false">
      <c r="A57" s="17"/>
      <c r="B57" s="18" t="s">
        <v>222</v>
      </c>
      <c r="C57" s="19"/>
      <c r="D57" s="49"/>
      <c r="E57" s="19"/>
      <c r="F57" s="22"/>
      <c r="G57" s="146" t="s">
        <v>22</v>
      </c>
      <c r="H57" s="147"/>
      <c r="I57" s="148"/>
      <c r="J57" s="148"/>
      <c r="K57" s="149"/>
      <c r="L57" s="149" t="n">
        <f aca="false">M57+N57</f>
        <v>0</v>
      </c>
      <c r="M57" s="149"/>
      <c r="N57" s="150"/>
      <c r="O57" s="151"/>
      <c r="P57" s="149"/>
      <c r="Q57" s="149" t="n">
        <f aca="false">R57+S57</f>
        <v>0</v>
      </c>
      <c r="R57" s="149"/>
      <c r="S57" s="150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customFormat="false" ht="15" hidden="false" customHeight="false" outlineLevel="0" collapsed="false">
      <c r="A58" s="17"/>
      <c r="B58" s="18"/>
      <c r="C58" s="18"/>
      <c r="D58" s="18"/>
      <c r="E58" s="18"/>
      <c r="F58" s="26"/>
      <c r="G58" s="152" t="s">
        <v>23</v>
      </c>
      <c r="H58" s="176" t="n">
        <v>1</v>
      </c>
      <c r="I58" s="154"/>
      <c r="J58" s="154"/>
      <c r="K58" s="155"/>
      <c r="L58" s="155" t="n">
        <f aca="false">M58+N58</f>
        <v>0</v>
      </c>
      <c r="M58" s="155"/>
      <c r="N58" s="156"/>
      <c r="O58" s="157"/>
      <c r="P58" s="155"/>
      <c r="Q58" s="155" t="n">
        <f aca="false">R58+S58</f>
        <v>0</v>
      </c>
      <c r="R58" s="155"/>
      <c r="S58" s="156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customFormat="false" ht="15" hidden="false" customHeight="true" outlineLevel="0" collapsed="false">
      <c r="A59" s="33"/>
      <c r="B59" s="34" t="s">
        <v>59</v>
      </c>
      <c r="C59" s="35" t="s">
        <v>20</v>
      </c>
      <c r="D59" s="95"/>
      <c r="E59" s="35" t="s">
        <v>25</v>
      </c>
      <c r="F59" s="38"/>
      <c r="G59" s="158" t="s">
        <v>22</v>
      </c>
      <c r="H59" s="169"/>
      <c r="I59" s="160"/>
      <c r="J59" s="160"/>
      <c r="K59" s="161"/>
      <c r="L59" s="161" t="n">
        <f aca="false">M59+N59</f>
        <v>0</v>
      </c>
      <c r="M59" s="161"/>
      <c r="N59" s="162"/>
      <c r="O59" s="163"/>
      <c r="P59" s="161"/>
      <c r="Q59" s="161" t="n">
        <f aca="false">R59+S59</f>
        <v>0</v>
      </c>
      <c r="R59" s="161"/>
      <c r="S59" s="16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customFormat="false" ht="15.75" hidden="false" customHeight="true" outlineLevel="0" collapsed="false">
      <c r="A60" s="33"/>
      <c r="B60" s="34"/>
      <c r="C60" s="34"/>
      <c r="D60" s="34"/>
      <c r="E60" s="34"/>
      <c r="F60" s="71"/>
      <c r="G60" s="164" t="s">
        <v>26</v>
      </c>
      <c r="H60" s="153"/>
      <c r="I60" s="165"/>
      <c r="J60" s="165"/>
      <c r="K60" s="166"/>
      <c r="L60" s="166" t="n">
        <f aca="false">M60+N60</f>
        <v>0</v>
      </c>
      <c r="M60" s="166"/>
      <c r="N60" s="167"/>
      <c r="O60" s="168"/>
      <c r="P60" s="166"/>
      <c r="Q60" s="166" t="n">
        <f aca="false">R60+S60</f>
        <v>0</v>
      </c>
      <c r="R60" s="166"/>
      <c r="S60" s="167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customFormat="false" ht="15" hidden="false" customHeight="true" outlineLevel="0" collapsed="false">
      <c r="A61" s="17"/>
      <c r="B61" s="18" t="s">
        <v>60</v>
      </c>
      <c r="C61" s="19" t="s">
        <v>20</v>
      </c>
      <c r="D61" s="19"/>
      <c r="E61" s="19" t="s">
        <v>21</v>
      </c>
      <c r="F61" s="22"/>
      <c r="G61" s="146" t="s">
        <v>22</v>
      </c>
      <c r="H61" s="169" t="n">
        <v>1</v>
      </c>
      <c r="I61" s="148"/>
      <c r="J61" s="148"/>
      <c r="K61" s="149"/>
      <c r="L61" s="149" t="n">
        <f aca="false">M61+N61</f>
        <v>0</v>
      </c>
      <c r="M61" s="149"/>
      <c r="N61" s="150"/>
      <c r="O61" s="151"/>
      <c r="P61" s="149"/>
      <c r="Q61" s="149" t="n">
        <f aca="false">R61+S61</f>
        <v>0</v>
      </c>
      <c r="R61" s="149"/>
      <c r="S61" s="150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customFormat="false" ht="15.75" hidden="false" customHeight="true" outlineLevel="0" collapsed="false">
      <c r="A62" s="17"/>
      <c r="B62" s="18"/>
      <c r="C62" s="18"/>
      <c r="D62" s="18"/>
      <c r="E62" s="18"/>
      <c r="F62" s="71"/>
      <c r="G62" s="164" t="s">
        <v>23</v>
      </c>
      <c r="H62" s="175"/>
      <c r="I62" s="165"/>
      <c r="J62" s="165"/>
      <c r="K62" s="166"/>
      <c r="L62" s="166" t="n">
        <f aca="false">M62+N62</f>
        <v>0</v>
      </c>
      <c r="M62" s="166"/>
      <c r="N62" s="167"/>
      <c r="O62" s="168"/>
      <c r="P62" s="166"/>
      <c r="Q62" s="166" t="n">
        <f aca="false">R62+S62</f>
        <v>0</v>
      </c>
      <c r="R62" s="166"/>
      <c r="S62" s="167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customFormat="false" ht="15.75" hidden="false" customHeight="true" outlineLevel="0" collapsed="false">
      <c r="A63" s="17"/>
      <c r="B63" s="18" t="s">
        <v>223</v>
      </c>
      <c r="C63" s="19"/>
      <c r="D63" s="19"/>
      <c r="E63" s="19"/>
      <c r="F63" s="20"/>
      <c r="G63" s="146" t="s">
        <v>22</v>
      </c>
      <c r="H63" s="173" t="n">
        <v>3</v>
      </c>
      <c r="I63" s="148"/>
      <c r="J63" s="148"/>
      <c r="K63" s="149"/>
      <c r="L63" s="149" t="n">
        <f aca="false">M63+N63</f>
        <v>0</v>
      </c>
      <c r="M63" s="149"/>
      <c r="N63" s="150"/>
      <c r="O63" s="151"/>
      <c r="P63" s="149"/>
      <c r="Q63" s="149" t="n">
        <f aca="false">R63+S63</f>
        <v>0</v>
      </c>
      <c r="R63" s="149"/>
      <c r="S63" s="150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customFormat="false" ht="15.75" hidden="false" customHeight="true" outlineLevel="0" collapsed="false">
      <c r="A64" s="17"/>
      <c r="B64" s="18"/>
      <c r="C64" s="18"/>
      <c r="D64" s="18"/>
      <c r="E64" s="18"/>
      <c r="F64" s="57"/>
      <c r="G64" s="152" t="s">
        <v>23</v>
      </c>
      <c r="H64" s="174" t="n">
        <v>9</v>
      </c>
      <c r="I64" s="154"/>
      <c r="J64" s="154"/>
      <c r="K64" s="155"/>
      <c r="L64" s="155" t="n">
        <f aca="false">M64+N64</f>
        <v>0</v>
      </c>
      <c r="M64" s="155"/>
      <c r="N64" s="156"/>
      <c r="O64" s="157"/>
      <c r="P64" s="155"/>
      <c r="Q64" s="155" t="n">
        <f aca="false">R64+S64</f>
        <v>0</v>
      </c>
      <c r="R64" s="155"/>
      <c r="S64" s="156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customFormat="false" ht="15.75" hidden="false" customHeight="true" outlineLevel="0" collapsed="false">
      <c r="A65" s="33"/>
      <c r="B65" s="34" t="s">
        <v>61</v>
      </c>
      <c r="C65" s="35" t="s">
        <v>33</v>
      </c>
      <c r="D65" s="56" t="s">
        <v>62</v>
      </c>
      <c r="E65" s="35" t="s">
        <v>25</v>
      </c>
      <c r="F65" s="36"/>
      <c r="G65" s="158" t="s">
        <v>22</v>
      </c>
      <c r="H65" s="159" t="n">
        <v>3</v>
      </c>
      <c r="I65" s="160" t="n">
        <v>2</v>
      </c>
      <c r="J65" s="160" t="n">
        <v>2</v>
      </c>
      <c r="K65" s="161" t="n">
        <v>1691.52</v>
      </c>
      <c r="L65" s="161" t="n">
        <f aca="false">M65+N65</f>
        <v>0</v>
      </c>
      <c r="M65" s="161"/>
      <c r="N65" s="162"/>
      <c r="O65" s="163" t="n">
        <v>2</v>
      </c>
      <c r="P65" s="161"/>
      <c r="Q65" s="161" t="n">
        <f aca="false">R65+S65</f>
        <v>0</v>
      </c>
      <c r="R65" s="161"/>
      <c r="S65" s="16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customFormat="false" ht="15.75" hidden="false" customHeight="true" outlineLevel="0" collapsed="false">
      <c r="A66" s="33"/>
      <c r="B66" s="34"/>
      <c r="C66" s="34"/>
      <c r="D66" s="56"/>
      <c r="E66" s="35"/>
      <c r="F66" s="42" t="s">
        <v>173</v>
      </c>
      <c r="G66" s="164" t="s">
        <v>26</v>
      </c>
      <c r="H66" s="153" t="n">
        <v>2</v>
      </c>
      <c r="I66" s="165"/>
      <c r="J66" s="165"/>
      <c r="K66" s="166"/>
      <c r="L66" s="166" t="n">
        <f aca="false">M66+N66</f>
        <v>0</v>
      </c>
      <c r="M66" s="166"/>
      <c r="N66" s="167"/>
      <c r="O66" s="168" t="n">
        <v>2</v>
      </c>
      <c r="P66" s="166" t="n">
        <v>3171.6</v>
      </c>
      <c r="Q66" s="166" t="n">
        <f aca="false">R66+S66</f>
        <v>0</v>
      </c>
      <c r="R66" s="166"/>
      <c r="S66" s="167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customFormat="false" ht="15.75" hidden="false" customHeight="true" outlineLevel="0" collapsed="false">
      <c r="A67" s="72"/>
      <c r="B67" s="73" t="s">
        <v>63</v>
      </c>
      <c r="C67" s="74" t="s">
        <v>20</v>
      </c>
      <c r="D67" s="74"/>
      <c r="E67" s="74" t="s">
        <v>25</v>
      </c>
      <c r="F67" s="20"/>
      <c r="G67" s="146" t="s">
        <v>22</v>
      </c>
      <c r="H67" s="169" t="n">
        <v>1</v>
      </c>
      <c r="I67" s="148"/>
      <c r="J67" s="148"/>
      <c r="K67" s="149"/>
      <c r="L67" s="149" t="n">
        <f aca="false">M67+N67</f>
        <v>0</v>
      </c>
      <c r="M67" s="149"/>
      <c r="N67" s="150"/>
      <c r="O67" s="151" t="n">
        <v>3</v>
      </c>
      <c r="P67" s="149"/>
      <c r="Q67" s="149" t="n">
        <f aca="false">R67+S67</f>
        <v>2616.57</v>
      </c>
      <c r="R67" s="149" t="n">
        <v>2616.57</v>
      </c>
      <c r="S67" s="150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customFormat="false" ht="15.75" hidden="false" customHeight="true" outlineLevel="0" collapsed="false">
      <c r="A68" s="72"/>
      <c r="B68" s="73"/>
      <c r="C68" s="73"/>
      <c r="D68" s="73"/>
      <c r="E68" s="73"/>
      <c r="F68" s="42" t="s">
        <v>174</v>
      </c>
      <c r="G68" s="164" t="s">
        <v>26</v>
      </c>
      <c r="H68" s="153"/>
      <c r="I68" s="165"/>
      <c r="J68" s="165"/>
      <c r="K68" s="166"/>
      <c r="L68" s="166" t="n">
        <f aca="false">M68+N68</f>
        <v>0</v>
      </c>
      <c r="M68" s="166"/>
      <c r="N68" s="167"/>
      <c r="O68" s="168"/>
      <c r="P68" s="166"/>
      <c r="Q68" s="166" t="n">
        <f aca="false">R68+S68</f>
        <v>0</v>
      </c>
      <c r="R68" s="166"/>
      <c r="S68" s="167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customFormat="false" ht="15" hidden="false" customHeight="true" outlineLevel="0" collapsed="false">
      <c r="A69" s="72"/>
      <c r="B69" s="73" t="s">
        <v>64</v>
      </c>
      <c r="C69" s="74" t="s">
        <v>20</v>
      </c>
      <c r="D69" s="74"/>
      <c r="E69" s="74" t="s">
        <v>25</v>
      </c>
      <c r="F69" s="20"/>
      <c r="G69" s="146" t="s">
        <v>22</v>
      </c>
      <c r="H69" s="169"/>
      <c r="I69" s="148"/>
      <c r="J69" s="148"/>
      <c r="K69" s="149"/>
      <c r="L69" s="149" t="n">
        <f aca="false">M69+N69</f>
        <v>0</v>
      </c>
      <c r="M69" s="149"/>
      <c r="N69" s="150"/>
      <c r="O69" s="151"/>
      <c r="P69" s="149"/>
      <c r="Q69" s="149" t="n">
        <f aca="false">R69+S69</f>
        <v>0</v>
      </c>
      <c r="R69" s="149"/>
      <c r="S69" s="150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customFormat="false" ht="15.75" hidden="false" customHeight="true" outlineLevel="0" collapsed="false">
      <c r="A70" s="72"/>
      <c r="B70" s="73"/>
      <c r="C70" s="73"/>
      <c r="D70" s="73"/>
      <c r="E70" s="73"/>
      <c r="F70" s="71"/>
      <c r="G70" s="164" t="s">
        <v>26</v>
      </c>
      <c r="H70" s="153"/>
      <c r="I70" s="165"/>
      <c r="J70" s="165"/>
      <c r="K70" s="166"/>
      <c r="L70" s="166" t="n">
        <f aca="false">M70+N70</f>
        <v>0</v>
      </c>
      <c r="M70" s="166"/>
      <c r="N70" s="167"/>
      <c r="O70" s="168"/>
      <c r="P70" s="166"/>
      <c r="Q70" s="166" t="n">
        <f aca="false">R70+S70</f>
        <v>0</v>
      </c>
      <c r="R70" s="166"/>
      <c r="S70" s="167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customFormat="false" ht="15.75" hidden="false" customHeight="true" outlineLevel="0" collapsed="false">
      <c r="A71" s="17"/>
      <c r="B71" s="18" t="s">
        <v>65</v>
      </c>
      <c r="C71" s="19" t="s">
        <v>33</v>
      </c>
      <c r="D71" s="19" t="s">
        <v>66</v>
      </c>
      <c r="E71" s="19" t="s">
        <v>67</v>
      </c>
      <c r="F71" s="20"/>
      <c r="G71" s="146" t="s">
        <v>22</v>
      </c>
      <c r="H71" s="159" t="n">
        <v>3</v>
      </c>
      <c r="I71" s="148" t="n">
        <v>2</v>
      </c>
      <c r="J71" s="148" t="n">
        <v>2</v>
      </c>
      <c r="K71" s="149" t="n">
        <v>1573.47</v>
      </c>
      <c r="L71" s="149" t="n">
        <f aca="false">M71+N71</f>
        <v>704.8</v>
      </c>
      <c r="M71" s="149" t="n">
        <v>704.8</v>
      </c>
      <c r="N71" s="150"/>
      <c r="O71" s="151" t="n">
        <v>7</v>
      </c>
      <c r="P71" s="149"/>
      <c r="Q71" s="149" t="n">
        <f aca="false">R71+S71</f>
        <v>4384.96</v>
      </c>
      <c r="R71" s="149" t="n">
        <v>4384.96</v>
      </c>
      <c r="S71" s="150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customFormat="false" ht="15.75" hidden="false" customHeight="true" outlineLevel="0" collapsed="false">
      <c r="A72" s="17"/>
      <c r="B72" s="18"/>
      <c r="C72" s="18"/>
      <c r="D72" s="18"/>
      <c r="E72" s="18"/>
      <c r="F72" s="42"/>
      <c r="G72" s="164" t="s">
        <v>23</v>
      </c>
      <c r="H72" s="172" t="n">
        <v>20</v>
      </c>
      <c r="I72" s="165" t="n">
        <v>2</v>
      </c>
      <c r="J72" s="165" t="n">
        <v>2</v>
      </c>
      <c r="K72" s="166" t="n">
        <v>1233.4</v>
      </c>
      <c r="L72" s="166" t="n">
        <f aca="false">M72+N72</f>
        <v>0</v>
      </c>
      <c r="M72" s="166"/>
      <c r="N72" s="167"/>
      <c r="O72" s="168" t="n">
        <v>13</v>
      </c>
      <c r="P72" s="166" t="n">
        <v>27941.5</v>
      </c>
      <c r="Q72" s="166" t="n">
        <v>2731.1</v>
      </c>
      <c r="R72" s="166" t="n">
        <v>2731.1</v>
      </c>
      <c r="S72" s="167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customFormat="false" ht="15" hidden="false" customHeight="true" outlineLevel="0" collapsed="false">
      <c r="A73" s="17"/>
      <c r="B73" s="18" t="s">
        <v>175</v>
      </c>
      <c r="C73" s="19"/>
      <c r="D73" s="19"/>
      <c r="E73" s="19"/>
      <c r="F73" s="137"/>
      <c r="G73" s="146" t="s">
        <v>22</v>
      </c>
      <c r="H73" s="147"/>
      <c r="I73" s="148"/>
      <c r="J73" s="148"/>
      <c r="K73" s="149"/>
      <c r="L73" s="149" t="n">
        <f aca="false">M73+N73</f>
        <v>0</v>
      </c>
      <c r="M73" s="149"/>
      <c r="N73" s="150"/>
      <c r="O73" s="151"/>
      <c r="P73" s="149"/>
      <c r="Q73" s="149" t="n">
        <f aca="false">R73+S73</f>
        <v>0</v>
      </c>
      <c r="R73" s="149"/>
      <c r="S73" s="150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customFormat="false" ht="15" hidden="false" customHeight="false" outlineLevel="0" collapsed="false">
      <c r="A74" s="17"/>
      <c r="B74" s="18"/>
      <c r="C74" s="18"/>
      <c r="D74" s="18"/>
      <c r="E74" s="18"/>
      <c r="F74" s="89"/>
      <c r="G74" s="164" t="s">
        <v>26</v>
      </c>
      <c r="H74" s="178" t="n">
        <v>4</v>
      </c>
      <c r="I74" s="165"/>
      <c r="J74" s="165"/>
      <c r="K74" s="166" t="n">
        <v>2290.6</v>
      </c>
      <c r="L74" s="166" t="n">
        <f aca="false">M74+N74</f>
        <v>0</v>
      </c>
      <c r="M74" s="166"/>
      <c r="N74" s="167"/>
      <c r="O74" s="168"/>
      <c r="P74" s="166"/>
      <c r="Q74" s="166" t="n">
        <f aca="false">R74+S74</f>
        <v>0</v>
      </c>
      <c r="R74" s="166"/>
      <c r="S74" s="167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customFormat="false" ht="15" hidden="false" customHeight="true" outlineLevel="0" collapsed="false">
      <c r="A75" s="17"/>
      <c r="B75" s="18" t="s">
        <v>68</v>
      </c>
      <c r="C75" s="19" t="s">
        <v>20</v>
      </c>
      <c r="D75" s="19"/>
      <c r="E75" s="19" t="s">
        <v>69</v>
      </c>
      <c r="F75" s="22"/>
      <c r="G75" s="146" t="s">
        <v>22</v>
      </c>
      <c r="H75" s="147" t="n">
        <v>3</v>
      </c>
      <c r="I75" s="148"/>
      <c r="J75" s="148"/>
      <c r="K75" s="149"/>
      <c r="L75" s="149" t="n">
        <f aca="false">M75+N75</f>
        <v>0</v>
      </c>
      <c r="M75" s="149"/>
      <c r="N75" s="150"/>
      <c r="O75" s="151" t="n">
        <v>10</v>
      </c>
      <c r="P75" s="149"/>
      <c r="Q75" s="149" t="n">
        <f aca="false">R75+S75</f>
        <v>3419.21</v>
      </c>
      <c r="R75" s="149" t="n">
        <v>3419.21</v>
      </c>
      <c r="S75" s="150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customFormat="false" ht="15.75" hidden="false" customHeight="true" outlineLevel="0" collapsed="false">
      <c r="A76" s="17"/>
      <c r="B76" s="18"/>
      <c r="C76" s="18"/>
      <c r="D76" s="18"/>
      <c r="E76" s="18"/>
      <c r="F76" s="26" t="s">
        <v>176</v>
      </c>
      <c r="G76" s="152" t="s">
        <v>26</v>
      </c>
      <c r="H76" s="153" t="n">
        <v>1</v>
      </c>
      <c r="I76" s="154"/>
      <c r="J76" s="154"/>
      <c r="K76" s="179"/>
      <c r="L76" s="155" t="n">
        <f aca="false">M76+N76</f>
        <v>0</v>
      </c>
      <c r="M76" s="155"/>
      <c r="N76" s="156"/>
      <c r="O76" s="157"/>
      <c r="P76" s="155" t="n">
        <v>5462.2</v>
      </c>
      <c r="Q76" s="155" t="n">
        <f aca="false">R76+S76</f>
        <v>0</v>
      </c>
      <c r="R76" s="155"/>
      <c r="S76" s="156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customFormat="false" ht="15.75" hidden="false" customHeight="true" outlineLevel="0" collapsed="false">
      <c r="A77" s="54"/>
      <c r="B77" s="55" t="s">
        <v>70</v>
      </c>
      <c r="C77" s="56" t="s">
        <v>20</v>
      </c>
      <c r="D77" s="56" t="s">
        <v>71</v>
      </c>
      <c r="E77" s="56" t="s">
        <v>25</v>
      </c>
      <c r="F77" s="36"/>
      <c r="G77" s="158" t="s">
        <v>22</v>
      </c>
      <c r="H77" s="169"/>
      <c r="I77" s="160"/>
      <c r="J77" s="160"/>
      <c r="K77" s="161"/>
      <c r="L77" s="161" t="n">
        <f aca="false">M77+N77</f>
        <v>0</v>
      </c>
      <c r="M77" s="161"/>
      <c r="N77" s="162"/>
      <c r="O77" s="163"/>
      <c r="P77" s="161"/>
      <c r="Q77" s="161" t="n">
        <f aca="false">R77+S77</f>
        <v>0</v>
      </c>
      <c r="R77" s="161"/>
      <c r="S77" s="16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customFormat="false" ht="15.75" hidden="false" customHeight="true" outlineLevel="0" collapsed="false">
      <c r="A78" s="54"/>
      <c r="B78" s="55"/>
      <c r="C78" s="55"/>
      <c r="D78" s="55"/>
      <c r="E78" s="55"/>
      <c r="F78" s="26" t="s">
        <v>177</v>
      </c>
      <c r="G78" s="152" t="s">
        <v>26</v>
      </c>
      <c r="H78" s="153" t="n">
        <v>3</v>
      </c>
      <c r="I78" s="154"/>
      <c r="J78" s="154"/>
      <c r="K78" s="155"/>
      <c r="L78" s="155" t="n">
        <f aca="false">M78+N78</f>
        <v>0</v>
      </c>
      <c r="M78" s="155"/>
      <c r="N78" s="156"/>
      <c r="O78" s="157"/>
      <c r="P78" s="155"/>
      <c r="Q78" s="155" t="n">
        <f aca="false">R78+S78</f>
        <v>0</v>
      </c>
      <c r="R78" s="155"/>
      <c r="S78" s="156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customFormat="false" ht="15" hidden="false" customHeight="true" outlineLevel="0" collapsed="false">
      <c r="A79" s="33"/>
      <c r="B79" s="34" t="s">
        <v>72</v>
      </c>
      <c r="C79" s="35" t="s">
        <v>20</v>
      </c>
      <c r="D79" s="35"/>
      <c r="E79" s="35" t="s">
        <v>52</v>
      </c>
      <c r="F79" s="36"/>
      <c r="G79" s="146" t="s">
        <v>22</v>
      </c>
      <c r="H79" s="159" t="n">
        <v>1</v>
      </c>
      <c r="I79" s="160"/>
      <c r="J79" s="160"/>
      <c r="K79" s="161"/>
      <c r="L79" s="161" t="n">
        <f aca="false">M79+N79</f>
        <v>0</v>
      </c>
      <c r="M79" s="161"/>
      <c r="N79" s="162"/>
      <c r="O79" s="163"/>
      <c r="P79" s="161"/>
      <c r="Q79" s="161" t="n">
        <f aca="false">R79+S79</f>
        <v>0</v>
      </c>
      <c r="R79" s="161"/>
      <c r="S79" s="16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customFormat="false" ht="15.75" hidden="false" customHeight="true" outlineLevel="0" collapsed="false">
      <c r="A80" s="33"/>
      <c r="B80" s="34"/>
      <c r="C80" s="34"/>
      <c r="D80" s="34"/>
      <c r="E80" s="34"/>
      <c r="F80" s="42" t="s">
        <v>178</v>
      </c>
      <c r="G80" s="164" t="s">
        <v>26</v>
      </c>
      <c r="H80" s="171" t="n">
        <v>1</v>
      </c>
      <c r="I80" s="165"/>
      <c r="J80" s="165"/>
      <c r="K80" s="166"/>
      <c r="L80" s="166" t="n">
        <v>881</v>
      </c>
      <c r="M80" s="166" t="n">
        <v>881</v>
      </c>
      <c r="N80" s="167"/>
      <c r="O80" s="168" t="n">
        <v>3</v>
      </c>
      <c r="P80" s="166" t="n">
        <v>11108.48</v>
      </c>
      <c r="Q80" s="166" t="n">
        <f aca="false">R80+S80</f>
        <v>0</v>
      </c>
      <c r="R80" s="166"/>
      <c r="S80" s="167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customFormat="false" ht="15" hidden="false" customHeight="true" outlineLevel="0" collapsed="false">
      <c r="A81" s="17"/>
      <c r="B81" s="18" t="s">
        <v>73</v>
      </c>
      <c r="C81" s="19" t="s">
        <v>20</v>
      </c>
      <c r="D81" s="19"/>
      <c r="E81" s="19" t="s">
        <v>52</v>
      </c>
      <c r="F81" s="20"/>
      <c r="G81" s="146" t="s">
        <v>22</v>
      </c>
      <c r="H81" s="159" t="n">
        <v>3</v>
      </c>
      <c r="I81" s="148" t="n">
        <v>1</v>
      </c>
      <c r="J81" s="148" t="n">
        <v>1</v>
      </c>
      <c r="K81" s="149" t="n">
        <v>1395.5</v>
      </c>
      <c r="L81" s="149" t="n">
        <f aca="false">M81+N81</f>
        <v>1395.5</v>
      </c>
      <c r="M81" s="149" t="n">
        <v>1395.5</v>
      </c>
      <c r="N81" s="150"/>
      <c r="O81" s="151" t="n">
        <v>2</v>
      </c>
      <c r="P81" s="149"/>
      <c r="Q81" s="149" t="n">
        <f aca="false">R81+S81</f>
        <v>3239.04</v>
      </c>
      <c r="R81" s="149" t="n">
        <v>3239.04</v>
      </c>
      <c r="S81" s="150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customFormat="false" ht="15.75" hidden="false" customHeight="true" outlineLevel="0" collapsed="false">
      <c r="A82" s="17"/>
      <c r="B82" s="18"/>
      <c r="C82" s="18"/>
      <c r="D82" s="18"/>
      <c r="E82" s="18"/>
      <c r="F82" s="26" t="s">
        <v>179</v>
      </c>
      <c r="G82" s="152" t="s">
        <v>26</v>
      </c>
      <c r="H82" s="153" t="n">
        <v>2</v>
      </c>
      <c r="I82" s="154" t="n">
        <v>2</v>
      </c>
      <c r="J82" s="154" t="n">
        <v>2</v>
      </c>
      <c r="K82" s="155" t="n">
        <v>5106.8</v>
      </c>
      <c r="L82" s="155" t="n">
        <f aca="false">M82+N82</f>
        <v>0</v>
      </c>
      <c r="M82" s="155"/>
      <c r="N82" s="156"/>
      <c r="O82" s="157" t="n">
        <v>1</v>
      </c>
      <c r="P82" s="155"/>
      <c r="Q82" s="155" t="n">
        <f aca="false">R82+S82</f>
        <v>0</v>
      </c>
      <c r="R82" s="155"/>
      <c r="S82" s="156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customFormat="false" ht="15.75" hidden="false" customHeight="true" outlineLevel="0" collapsed="false">
      <c r="A83" s="33"/>
      <c r="B83" s="34" t="s">
        <v>74</v>
      </c>
      <c r="C83" s="35" t="s">
        <v>33</v>
      </c>
      <c r="D83" s="35" t="s">
        <v>75</v>
      </c>
      <c r="E83" s="35" t="s">
        <v>25</v>
      </c>
      <c r="F83" s="36"/>
      <c r="G83" s="146" t="s">
        <v>22</v>
      </c>
      <c r="H83" s="159" t="n">
        <v>13</v>
      </c>
      <c r="I83" s="160" t="n">
        <v>8</v>
      </c>
      <c r="J83" s="160" t="n">
        <v>8</v>
      </c>
      <c r="K83" s="161" t="n">
        <v>11090.12</v>
      </c>
      <c r="L83" s="161" t="n">
        <f aca="false">M83+N83</f>
        <v>0</v>
      </c>
      <c r="M83" s="161"/>
      <c r="N83" s="162"/>
      <c r="O83" s="163" t="n">
        <v>16</v>
      </c>
      <c r="P83" s="161"/>
      <c r="Q83" s="161" t="n">
        <f aca="false">R83+S83</f>
        <v>0</v>
      </c>
      <c r="R83" s="161"/>
      <c r="S83" s="16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customFormat="false" ht="15.75" hidden="false" customHeight="true" outlineLevel="0" collapsed="false">
      <c r="A84" s="33"/>
      <c r="B84" s="34"/>
      <c r="C84" s="34"/>
      <c r="D84" s="34"/>
      <c r="E84" s="34"/>
      <c r="F84" s="42"/>
      <c r="G84" s="164" t="s">
        <v>26</v>
      </c>
      <c r="H84" s="153"/>
      <c r="I84" s="165"/>
      <c r="J84" s="165"/>
      <c r="K84" s="166"/>
      <c r="L84" s="166" t="n">
        <f aca="false">M84+N84</f>
        <v>0</v>
      </c>
      <c r="M84" s="166"/>
      <c r="N84" s="167"/>
      <c r="O84" s="168" t="n">
        <v>4</v>
      </c>
      <c r="P84" s="166" t="n">
        <v>15858</v>
      </c>
      <c r="Q84" s="166" t="n">
        <f aca="false">R84+S84</f>
        <v>0</v>
      </c>
      <c r="R84" s="166"/>
      <c r="S84" s="167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customFormat="false" ht="15" hidden="false" customHeight="true" outlineLevel="0" collapsed="false">
      <c r="A85" s="72"/>
      <c r="B85" s="73" t="s">
        <v>76</v>
      </c>
      <c r="C85" s="74" t="s">
        <v>20</v>
      </c>
      <c r="D85" s="74" t="s">
        <v>180</v>
      </c>
      <c r="E85" s="74" t="s">
        <v>25</v>
      </c>
      <c r="F85" s="20"/>
      <c r="G85" s="146" t="s">
        <v>22</v>
      </c>
      <c r="H85" s="159" t="n">
        <v>7</v>
      </c>
      <c r="I85" s="148" t="n">
        <v>7</v>
      </c>
      <c r="J85" s="148" t="n">
        <v>7</v>
      </c>
      <c r="K85" s="149" t="n">
        <v>4413.25</v>
      </c>
      <c r="L85" s="149" t="n">
        <f aca="false">M85+N85</f>
        <v>0</v>
      </c>
      <c r="M85" s="149"/>
      <c r="N85" s="150"/>
      <c r="O85" s="151" t="n">
        <v>1</v>
      </c>
      <c r="P85" s="149"/>
      <c r="Q85" s="149" t="n">
        <f aca="false">R85+S85</f>
        <v>0</v>
      </c>
      <c r="R85" s="149"/>
      <c r="S85" s="150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customFormat="false" ht="15.75" hidden="false" customHeight="true" outlineLevel="0" collapsed="false">
      <c r="A86" s="72"/>
      <c r="B86" s="73"/>
      <c r="C86" s="73"/>
      <c r="D86" s="73"/>
      <c r="E86" s="73"/>
      <c r="F86" s="42" t="s">
        <v>181</v>
      </c>
      <c r="G86" s="164" t="s">
        <v>26</v>
      </c>
      <c r="H86" s="171" t="n">
        <v>3</v>
      </c>
      <c r="I86" s="165"/>
      <c r="J86" s="165"/>
      <c r="K86" s="166"/>
      <c r="L86" s="166" t="n">
        <f aca="false">M86+N86</f>
        <v>0</v>
      </c>
      <c r="M86" s="166"/>
      <c r="N86" s="167"/>
      <c r="O86" s="168" t="n">
        <v>4</v>
      </c>
      <c r="P86" s="166" t="n">
        <v>5990.8</v>
      </c>
      <c r="Q86" s="166" t="n">
        <f aca="false">R86+S86</f>
        <v>0</v>
      </c>
      <c r="R86" s="166"/>
      <c r="S86" s="167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customFormat="false" ht="15" hidden="false" customHeight="true" outlineLevel="0" collapsed="false">
      <c r="A87" s="17"/>
      <c r="B87" s="18" t="s">
        <v>77</v>
      </c>
      <c r="C87" s="19" t="s">
        <v>38</v>
      </c>
      <c r="D87" s="19" t="s">
        <v>78</v>
      </c>
      <c r="E87" s="19" t="s">
        <v>25</v>
      </c>
      <c r="F87" s="22"/>
      <c r="G87" s="146" t="s">
        <v>22</v>
      </c>
      <c r="H87" s="169" t="n">
        <v>5</v>
      </c>
      <c r="I87" s="148" t="n">
        <v>5</v>
      </c>
      <c r="J87" s="148" t="n">
        <v>5</v>
      </c>
      <c r="K87" s="149" t="n">
        <v>2293.24</v>
      </c>
      <c r="L87" s="149" t="n">
        <f aca="false">M87+N87</f>
        <v>0</v>
      </c>
      <c r="M87" s="149"/>
      <c r="N87" s="150"/>
      <c r="O87" s="151" t="n">
        <v>1</v>
      </c>
      <c r="P87" s="149"/>
      <c r="Q87" s="149" t="n">
        <f aca="false">R87+S87</f>
        <v>0</v>
      </c>
      <c r="R87" s="149"/>
      <c r="S87" s="150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customFormat="false" ht="15.75" hidden="false" customHeight="true" outlineLevel="0" collapsed="false">
      <c r="A88" s="17"/>
      <c r="B88" s="18"/>
      <c r="C88" s="18"/>
      <c r="D88" s="18"/>
      <c r="E88" s="18"/>
      <c r="F88" s="80" t="s">
        <v>182</v>
      </c>
      <c r="G88" s="180" t="s">
        <v>26</v>
      </c>
      <c r="H88" s="159" t="n">
        <v>2</v>
      </c>
      <c r="I88" s="181"/>
      <c r="J88" s="181"/>
      <c r="K88" s="182"/>
      <c r="L88" s="182" t="n">
        <f aca="false">M88+N88</f>
        <v>0</v>
      </c>
      <c r="M88" s="182"/>
      <c r="N88" s="183"/>
      <c r="O88" s="184" t="n">
        <v>4</v>
      </c>
      <c r="P88" s="182" t="n">
        <v>6167</v>
      </c>
      <c r="Q88" s="182" t="n">
        <f aca="false">R88+S88</f>
        <v>0</v>
      </c>
      <c r="R88" s="182"/>
      <c r="S88" s="183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customFormat="false" ht="15" hidden="false" customHeight="false" outlineLevel="0" collapsed="false">
      <c r="A89" s="17"/>
      <c r="B89" s="18"/>
      <c r="C89" s="18"/>
      <c r="D89" s="18"/>
      <c r="E89" s="18"/>
      <c r="F89" s="85"/>
      <c r="G89" s="185" t="s">
        <v>23</v>
      </c>
      <c r="H89" s="186" t="n">
        <v>1</v>
      </c>
      <c r="I89" s="154"/>
      <c r="J89" s="154"/>
      <c r="K89" s="155"/>
      <c r="L89" s="155" t="n">
        <f aca="false">M89+N89</f>
        <v>0</v>
      </c>
      <c r="M89" s="155"/>
      <c r="N89" s="156"/>
      <c r="O89" s="157" t="n">
        <v>3</v>
      </c>
      <c r="P89" s="155" t="n">
        <v>6695.6</v>
      </c>
      <c r="Q89" s="155" t="n">
        <f aca="false">R89+S89</f>
        <v>0</v>
      </c>
      <c r="R89" s="155"/>
      <c r="S89" s="156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customFormat="false" ht="15" hidden="false" customHeight="true" outlineLevel="0" collapsed="false">
      <c r="A90" s="33"/>
      <c r="B90" s="34" t="s">
        <v>79</v>
      </c>
      <c r="C90" s="35" t="s">
        <v>20</v>
      </c>
      <c r="D90" s="35"/>
      <c r="E90" s="35" t="s">
        <v>52</v>
      </c>
      <c r="F90" s="38"/>
      <c r="G90" s="146" t="s">
        <v>22</v>
      </c>
      <c r="H90" s="159" t="n">
        <v>3</v>
      </c>
      <c r="I90" s="160" t="n">
        <v>2</v>
      </c>
      <c r="J90" s="160" t="n">
        <v>3</v>
      </c>
      <c r="K90" s="161" t="n">
        <v>5452.69</v>
      </c>
      <c r="L90" s="161" t="n">
        <f aca="false">M90+N90</f>
        <v>0</v>
      </c>
      <c r="M90" s="161"/>
      <c r="N90" s="162"/>
      <c r="O90" s="163" t="n">
        <v>1</v>
      </c>
      <c r="P90" s="161"/>
      <c r="Q90" s="161" t="n">
        <f aca="false">R90+S90</f>
        <v>0</v>
      </c>
      <c r="R90" s="161"/>
      <c r="S90" s="16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customFormat="false" ht="15.75" hidden="false" customHeight="true" outlineLevel="0" collapsed="false">
      <c r="A91" s="33"/>
      <c r="B91" s="34"/>
      <c r="C91" s="34"/>
      <c r="D91" s="34"/>
      <c r="E91" s="34"/>
      <c r="F91" s="42"/>
      <c r="G91" s="164" t="s">
        <v>26</v>
      </c>
      <c r="H91" s="153"/>
      <c r="I91" s="165"/>
      <c r="J91" s="165"/>
      <c r="K91" s="166"/>
      <c r="L91" s="166" t="n">
        <f aca="false">M91+N91</f>
        <v>0</v>
      </c>
      <c r="M91" s="166"/>
      <c r="N91" s="167"/>
      <c r="O91" s="168"/>
      <c r="P91" s="166"/>
      <c r="Q91" s="166" t="n">
        <f aca="false">R91+S91</f>
        <v>0</v>
      </c>
      <c r="R91" s="166"/>
      <c r="S91" s="167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customFormat="false" ht="15" hidden="false" customHeight="true" outlineLevel="0" collapsed="false">
      <c r="A92" s="72"/>
      <c r="B92" s="73" t="s">
        <v>80</v>
      </c>
      <c r="C92" s="74" t="s">
        <v>20</v>
      </c>
      <c r="D92" s="74"/>
      <c r="E92" s="74" t="s">
        <v>81</v>
      </c>
      <c r="F92" s="20"/>
      <c r="G92" s="146" t="s">
        <v>22</v>
      </c>
      <c r="H92" s="159" t="n">
        <v>2</v>
      </c>
      <c r="I92" s="148" t="n">
        <v>1</v>
      </c>
      <c r="J92" s="148" t="n">
        <v>1</v>
      </c>
      <c r="K92" s="149" t="n">
        <v>3473.61</v>
      </c>
      <c r="L92" s="149" t="n">
        <f aca="false">M92+N92</f>
        <v>3473.61</v>
      </c>
      <c r="M92" s="149" t="n">
        <v>3473.61</v>
      </c>
      <c r="N92" s="150"/>
      <c r="O92" s="151"/>
      <c r="P92" s="149"/>
      <c r="Q92" s="149" t="n">
        <f aca="false">R92+S92</f>
        <v>0</v>
      </c>
      <c r="R92" s="149"/>
      <c r="S92" s="150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customFormat="false" ht="15.75" hidden="false" customHeight="true" outlineLevel="0" collapsed="false">
      <c r="A93" s="72"/>
      <c r="B93" s="73"/>
      <c r="C93" s="73"/>
      <c r="D93" s="73"/>
      <c r="E93" s="73"/>
      <c r="F93" s="42" t="s">
        <v>183</v>
      </c>
      <c r="G93" s="164" t="s">
        <v>26</v>
      </c>
      <c r="H93" s="153"/>
      <c r="I93" s="165"/>
      <c r="J93" s="165"/>
      <c r="K93" s="166"/>
      <c r="L93" s="166" t="n">
        <f aca="false">M93+N93</f>
        <v>0</v>
      </c>
      <c r="M93" s="166"/>
      <c r="N93" s="167"/>
      <c r="O93" s="168"/>
      <c r="P93" s="166"/>
      <c r="Q93" s="166" t="n">
        <f aca="false">R93+S93</f>
        <v>0</v>
      </c>
      <c r="R93" s="166"/>
      <c r="S93" s="167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customFormat="false" ht="15" hidden="false" customHeight="true" outlineLevel="0" collapsed="false">
      <c r="A94" s="17"/>
      <c r="B94" s="18" t="s">
        <v>82</v>
      </c>
      <c r="C94" s="19" t="s">
        <v>20</v>
      </c>
      <c r="D94" s="19" t="s">
        <v>184</v>
      </c>
      <c r="E94" s="19" t="s">
        <v>25</v>
      </c>
      <c r="F94" s="22"/>
      <c r="G94" s="146" t="s">
        <v>22</v>
      </c>
      <c r="H94" s="159" t="n">
        <v>14</v>
      </c>
      <c r="I94" s="148" t="n">
        <v>9</v>
      </c>
      <c r="J94" s="148" t="n">
        <v>9</v>
      </c>
      <c r="K94" s="149" t="n">
        <v>5526.53</v>
      </c>
      <c r="L94" s="149" t="n">
        <f aca="false">M94+N94</f>
        <v>0</v>
      </c>
      <c r="M94" s="149"/>
      <c r="N94" s="150"/>
      <c r="O94" s="151" t="n">
        <v>2</v>
      </c>
      <c r="P94" s="149"/>
      <c r="Q94" s="149" t="n">
        <f aca="false">R94+S94</f>
        <v>0</v>
      </c>
      <c r="R94" s="149"/>
      <c r="S94" s="150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customFormat="false" ht="15.75" hidden="false" customHeight="true" outlineLevel="0" collapsed="false">
      <c r="A95" s="17"/>
      <c r="B95" s="18"/>
      <c r="C95" s="18"/>
      <c r="D95" s="18"/>
      <c r="E95" s="18"/>
      <c r="F95" s="26" t="s">
        <v>185</v>
      </c>
      <c r="G95" s="152" t="s">
        <v>26</v>
      </c>
      <c r="H95" s="153" t="n">
        <v>1</v>
      </c>
      <c r="I95" s="154"/>
      <c r="J95" s="154"/>
      <c r="K95" s="155"/>
      <c r="L95" s="155" t="n">
        <f aca="false">M95+N95</f>
        <v>0</v>
      </c>
      <c r="M95" s="155"/>
      <c r="N95" s="156"/>
      <c r="O95" s="157" t="n">
        <v>1</v>
      </c>
      <c r="P95" s="155" t="n">
        <v>3171.6</v>
      </c>
      <c r="Q95" s="155" t="n">
        <f aca="false">R95+S95</f>
        <v>0</v>
      </c>
      <c r="R95" s="155"/>
      <c r="S95" s="156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customFormat="false" ht="15" hidden="false" customHeight="true" outlineLevel="0" collapsed="false">
      <c r="A96" s="17"/>
      <c r="B96" s="18" t="s">
        <v>83</v>
      </c>
      <c r="C96" s="19" t="s">
        <v>20</v>
      </c>
      <c r="D96" s="19"/>
      <c r="E96" s="19" t="s">
        <v>25</v>
      </c>
      <c r="F96" s="20"/>
      <c r="G96" s="146" t="s">
        <v>22</v>
      </c>
      <c r="H96" s="159" t="n">
        <v>2</v>
      </c>
      <c r="I96" s="148" t="n">
        <v>1</v>
      </c>
      <c r="J96" s="148" t="n">
        <v>1</v>
      </c>
      <c r="K96" s="149" t="n">
        <v>704.8</v>
      </c>
      <c r="L96" s="149" t="n">
        <f aca="false">M96+N96</f>
        <v>0</v>
      </c>
      <c r="M96" s="149"/>
      <c r="N96" s="150"/>
      <c r="O96" s="151" t="n">
        <v>1</v>
      </c>
      <c r="P96" s="149"/>
      <c r="Q96" s="149" t="n">
        <f aca="false">R96+S96</f>
        <v>0</v>
      </c>
      <c r="R96" s="149"/>
      <c r="S96" s="150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customFormat="false" ht="15.75" hidden="false" customHeight="true" outlineLevel="0" collapsed="false">
      <c r="A97" s="17"/>
      <c r="B97" s="18"/>
      <c r="C97" s="18"/>
      <c r="D97" s="18"/>
      <c r="E97" s="18"/>
      <c r="F97" s="26" t="s">
        <v>186</v>
      </c>
      <c r="G97" s="152" t="s">
        <v>26</v>
      </c>
      <c r="H97" s="153" t="n">
        <v>3</v>
      </c>
      <c r="I97" s="154"/>
      <c r="J97" s="154"/>
      <c r="K97" s="155"/>
      <c r="L97" s="155" t="n">
        <f aca="false">M97+N97</f>
        <v>0</v>
      </c>
      <c r="M97" s="155"/>
      <c r="N97" s="156"/>
      <c r="O97" s="157"/>
      <c r="P97" s="155"/>
      <c r="Q97" s="155" t="n">
        <f aca="false">R97+S97</f>
        <v>0</v>
      </c>
      <c r="R97" s="155"/>
      <c r="S97" s="156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customFormat="false" ht="15" hidden="false" customHeight="true" outlineLevel="0" collapsed="false">
      <c r="A98" s="33"/>
      <c r="B98" s="34" t="s">
        <v>84</v>
      </c>
      <c r="C98" s="35" t="s">
        <v>20</v>
      </c>
      <c r="D98" s="35"/>
      <c r="E98" s="35" t="s">
        <v>52</v>
      </c>
      <c r="F98" s="36"/>
      <c r="G98" s="146" t="s">
        <v>22</v>
      </c>
      <c r="H98" s="159" t="n">
        <v>10</v>
      </c>
      <c r="I98" s="160" t="n">
        <v>1</v>
      </c>
      <c r="J98" s="160" t="n">
        <v>1</v>
      </c>
      <c r="K98" s="161" t="n">
        <v>1569.94</v>
      </c>
      <c r="L98" s="161" t="n">
        <f aca="false">M98+N98</f>
        <v>0</v>
      </c>
      <c r="M98" s="161"/>
      <c r="N98" s="162"/>
      <c r="O98" s="163" t="n">
        <v>6</v>
      </c>
      <c r="P98" s="161"/>
      <c r="Q98" s="161" t="n">
        <f aca="false">R98+S98</f>
        <v>0</v>
      </c>
      <c r="R98" s="161"/>
      <c r="S98" s="16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customFormat="false" ht="15.75" hidden="false" customHeight="true" outlineLevel="0" collapsed="false">
      <c r="A99" s="33"/>
      <c r="B99" s="34"/>
      <c r="C99" s="34"/>
      <c r="D99" s="34"/>
      <c r="E99" s="34"/>
      <c r="F99" s="71"/>
      <c r="G99" s="164" t="s">
        <v>26</v>
      </c>
      <c r="H99" s="153"/>
      <c r="I99" s="165"/>
      <c r="J99" s="165"/>
      <c r="K99" s="166"/>
      <c r="L99" s="166" t="n">
        <f aca="false">M99+N99</f>
        <v>0</v>
      </c>
      <c r="M99" s="166"/>
      <c r="N99" s="167"/>
      <c r="O99" s="168"/>
      <c r="P99" s="166"/>
      <c r="Q99" s="166" t="n">
        <f aca="false">R99+S99</f>
        <v>0</v>
      </c>
      <c r="R99" s="166"/>
      <c r="S99" s="167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customFormat="false" ht="15" hidden="false" customHeight="true" outlineLevel="0" collapsed="false">
      <c r="A100" s="17"/>
      <c r="B100" s="18" t="s">
        <v>85</v>
      </c>
      <c r="C100" s="19" t="s">
        <v>20</v>
      </c>
      <c r="D100" s="19"/>
      <c r="E100" s="19" t="s">
        <v>25</v>
      </c>
      <c r="F100" s="87"/>
      <c r="G100" s="146" t="s">
        <v>22</v>
      </c>
      <c r="H100" s="169" t="n">
        <v>1</v>
      </c>
      <c r="I100" s="148"/>
      <c r="J100" s="148"/>
      <c r="K100" s="149"/>
      <c r="L100" s="149" t="n">
        <f aca="false">M100+N100</f>
        <v>0</v>
      </c>
      <c r="M100" s="149"/>
      <c r="N100" s="150"/>
      <c r="O100" s="151"/>
      <c r="P100" s="149"/>
      <c r="Q100" s="149" t="n">
        <f aca="false">R100+S100</f>
        <v>0</v>
      </c>
      <c r="R100" s="149"/>
      <c r="S100" s="150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customFormat="false" ht="15.75" hidden="false" customHeight="true" outlineLevel="0" collapsed="false">
      <c r="A101" s="17"/>
      <c r="B101" s="18"/>
      <c r="C101" s="18"/>
      <c r="D101" s="18"/>
      <c r="E101" s="18"/>
      <c r="F101" s="88"/>
      <c r="G101" s="152" t="s">
        <v>26</v>
      </c>
      <c r="H101" s="153"/>
      <c r="I101" s="154"/>
      <c r="J101" s="154"/>
      <c r="K101" s="155"/>
      <c r="L101" s="155" t="n">
        <f aca="false">M101+N101</f>
        <v>0</v>
      </c>
      <c r="M101" s="155"/>
      <c r="N101" s="156"/>
      <c r="O101" s="157"/>
      <c r="P101" s="155"/>
      <c r="Q101" s="155" t="n">
        <f aca="false">R101+S101</f>
        <v>0</v>
      </c>
      <c r="R101" s="155"/>
      <c r="S101" s="156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customFormat="false" ht="15.75" hidden="false" customHeight="true" outlineLevel="0" collapsed="false">
      <c r="A102" s="17"/>
      <c r="B102" s="73" t="s">
        <v>86</v>
      </c>
      <c r="C102" s="74" t="s">
        <v>33</v>
      </c>
      <c r="D102" s="74" t="s">
        <v>87</v>
      </c>
      <c r="E102" s="74" t="s">
        <v>88</v>
      </c>
      <c r="F102" s="20"/>
      <c r="G102" s="146" t="s">
        <v>22</v>
      </c>
      <c r="H102" s="169" t="n">
        <v>12</v>
      </c>
      <c r="I102" s="148" t="n">
        <v>7</v>
      </c>
      <c r="J102" s="148" t="n">
        <v>7</v>
      </c>
      <c r="K102" s="149" t="n">
        <v>6747.33</v>
      </c>
      <c r="L102" s="149" t="n">
        <f aca="false">M102+N102</f>
        <v>0</v>
      </c>
      <c r="M102" s="149"/>
      <c r="N102" s="150"/>
      <c r="O102" s="151" t="n">
        <v>5</v>
      </c>
      <c r="P102" s="149"/>
      <c r="Q102" s="149" t="n">
        <f aca="false">R102+S102</f>
        <v>0</v>
      </c>
      <c r="R102" s="149"/>
      <c r="S102" s="150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customFormat="false" ht="15.75" hidden="false" customHeight="true" outlineLevel="0" collapsed="false">
      <c r="A103" s="17"/>
      <c r="B103" s="73"/>
      <c r="C103" s="73"/>
      <c r="D103" s="73"/>
      <c r="E103" s="73"/>
      <c r="F103" s="42"/>
      <c r="G103" s="164" t="s">
        <v>23</v>
      </c>
      <c r="H103" s="171" t="n">
        <v>11</v>
      </c>
      <c r="I103" s="165" t="n">
        <v>1</v>
      </c>
      <c r="J103" s="165" t="n">
        <v>1</v>
      </c>
      <c r="K103" s="166" t="n">
        <v>1762</v>
      </c>
      <c r="L103" s="166" t="n">
        <f aca="false">M103+N103</f>
        <v>0</v>
      </c>
      <c r="M103" s="166"/>
      <c r="N103" s="167"/>
      <c r="O103" s="168" t="n">
        <v>7</v>
      </c>
      <c r="P103" s="166" t="n">
        <v>15065.1</v>
      </c>
      <c r="Q103" s="166" t="n">
        <v>440.5</v>
      </c>
      <c r="R103" s="166" t="n">
        <v>440.5</v>
      </c>
      <c r="S103" s="167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customFormat="false" ht="15" hidden="false" customHeight="true" outlineLevel="0" collapsed="false">
      <c r="A104" s="17"/>
      <c r="B104" s="18" t="s">
        <v>89</v>
      </c>
      <c r="C104" s="19" t="s">
        <v>20</v>
      </c>
      <c r="D104" s="19" t="s">
        <v>90</v>
      </c>
      <c r="E104" s="19" t="s">
        <v>42</v>
      </c>
      <c r="F104" s="20"/>
      <c r="G104" s="146" t="s">
        <v>22</v>
      </c>
      <c r="H104" s="159" t="n">
        <v>12</v>
      </c>
      <c r="I104" s="148" t="n">
        <v>2</v>
      </c>
      <c r="J104" s="148" t="n">
        <v>2</v>
      </c>
      <c r="K104" s="149" t="n">
        <v>8527.08</v>
      </c>
      <c r="L104" s="149" t="n">
        <f aca="false">M104+N104</f>
        <v>0</v>
      </c>
      <c r="M104" s="149"/>
      <c r="N104" s="150"/>
      <c r="O104" s="151" t="n">
        <v>5</v>
      </c>
      <c r="P104" s="149"/>
      <c r="Q104" s="149" t="n">
        <f aca="false">R104+S104</f>
        <v>14024.79</v>
      </c>
      <c r="R104" s="149" t="n">
        <v>14024.79</v>
      </c>
      <c r="S104" s="150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customFormat="false" ht="15.75" hidden="false" customHeight="true" outlineLevel="0" collapsed="false">
      <c r="A105" s="17"/>
      <c r="B105" s="18"/>
      <c r="C105" s="18"/>
      <c r="D105" s="18"/>
      <c r="E105" s="18"/>
      <c r="F105" s="26"/>
      <c r="G105" s="152" t="s">
        <v>23</v>
      </c>
      <c r="H105" s="153"/>
      <c r="I105" s="154"/>
      <c r="J105" s="154"/>
      <c r="K105" s="155"/>
      <c r="L105" s="155" t="n">
        <f aca="false">M105+N105</f>
        <v>0</v>
      </c>
      <c r="M105" s="155"/>
      <c r="N105" s="156"/>
      <c r="O105" s="157"/>
      <c r="P105" s="155"/>
      <c r="Q105" s="155" t="n">
        <f aca="false">R105+S105</f>
        <v>0</v>
      </c>
      <c r="R105" s="155"/>
      <c r="S105" s="156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customFormat="false" ht="15.75" hidden="false" customHeight="true" outlineLevel="0" collapsed="false">
      <c r="A106" s="33"/>
      <c r="B106" s="34" t="s">
        <v>91</v>
      </c>
      <c r="C106" s="35" t="s">
        <v>33</v>
      </c>
      <c r="D106" s="35" t="s">
        <v>92</v>
      </c>
      <c r="E106" s="35" t="s">
        <v>25</v>
      </c>
      <c r="F106" s="36"/>
      <c r="G106" s="146" t="s">
        <v>22</v>
      </c>
      <c r="H106" s="159" t="n">
        <v>11</v>
      </c>
      <c r="I106" s="160" t="n">
        <v>1</v>
      </c>
      <c r="J106" s="160" t="n">
        <v>1</v>
      </c>
      <c r="K106" s="161" t="n">
        <v>3805.92</v>
      </c>
      <c r="L106" s="161" t="n">
        <f aca="false">M106+N106</f>
        <v>0</v>
      </c>
      <c r="M106" s="161"/>
      <c r="N106" s="162"/>
      <c r="O106" s="163" t="n">
        <v>1</v>
      </c>
      <c r="P106" s="161"/>
      <c r="Q106" s="161" t="n">
        <f aca="false">R106+S106</f>
        <v>2537.28</v>
      </c>
      <c r="R106" s="161"/>
      <c r="S106" s="162" t="n">
        <v>2537.28</v>
      </c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customFormat="false" ht="15.75" hidden="false" customHeight="true" outlineLevel="0" collapsed="false">
      <c r="A107" s="33"/>
      <c r="B107" s="34"/>
      <c r="C107" s="34"/>
      <c r="D107" s="34"/>
      <c r="E107" s="34"/>
      <c r="F107" s="89"/>
      <c r="G107" s="187" t="s">
        <v>23</v>
      </c>
      <c r="H107" s="169"/>
      <c r="I107" s="188"/>
      <c r="J107" s="188"/>
      <c r="K107" s="189"/>
      <c r="L107" s="189" t="n">
        <f aca="false">M107+N107</f>
        <v>0</v>
      </c>
      <c r="M107" s="189"/>
      <c r="N107" s="190"/>
      <c r="O107" s="191"/>
      <c r="P107" s="189"/>
      <c r="Q107" s="189" t="n">
        <f aca="false">R107+S107</f>
        <v>0</v>
      </c>
      <c r="R107" s="189"/>
      <c r="S107" s="190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customFormat="false" ht="15.75" hidden="false" customHeight="true" outlineLevel="0" collapsed="false">
      <c r="A108" s="33"/>
      <c r="B108" s="34"/>
      <c r="C108" s="34"/>
      <c r="D108" s="34"/>
      <c r="E108" s="34"/>
      <c r="F108" s="42" t="s">
        <v>187</v>
      </c>
      <c r="G108" s="164" t="s">
        <v>26</v>
      </c>
      <c r="H108" s="171" t="n">
        <v>4</v>
      </c>
      <c r="I108" s="165" t="n">
        <v>1</v>
      </c>
      <c r="J108" s="165" t="n">
        <v>1</v>
      </c>
      <c r="K108" s="166" t="n">
        <v>2290.6</v>
      </c>
      <c r="L108" s="166" t="n">
        <f aca="false">M108+N108</f>
        <v>0</v>
      </c>
      <c r="M108" s="166"/>
      <c r="N108" s="167"/>
      <c r="O108" s="168" t="n">
        <v>2</v>
      </c>
      <c r="P108" s="166" t="n">
        <v>11664.44</v>
      </c>
      <c r="Q108" s="166" t="n">
        <f aca="false">R108+S108</f>
        <v>0</v>
      </c>
      <c r="R108" s="166"/>
      <c r="S108" s="167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customFormat="false" ht="15.75" hidden="false" customHeight="true" outlineLevel="0" collapsed="false">
      <c r="A109" s="17"/>
      <c r="B109" s="18" t="s">
        <v>93</v>
      </c>
      <c r="C109" s="19" t="s">
        <v>20</v>
      </c>
      <c r="D109" s="49"/>
      <c r="E109" s="19" t="s">
        <v>50</v>
      </c>
      <c r="F109" s="87"/>
      <c r="G109" s="146" t="s">
        <v>22</v>
      </c>
      <c r="H109" s="169" t="n">
        <v>2</v>
      </c>
      <c r="I109" s="148"/>
      <c r="J109" s="148"/>
      <c r="K109" s="149"/>
      <c r="L109" s="149" t="n">
        <f aca="false">M109+N109</f>
        <v>0</v>
      </c>
      <c r="M109" s="149"/>
      <c r="N109" s="150"/>
      <c r="O109" s="151"/>
      <c r="P109" s="149"/>
      <c r="Q109" s="149" t="n">
        <f aca="false">R109+S109</f>
        <v>0</v>
      </c>
      <c r="R109" s="149"/>
      <c r="S109" s="150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customFormat="false" ht="15.75" hidden="false" customHeight="true" outlineLevel="0" collapsed="false">
      <c r="A110" s="17"/>
      <c r="B110" s="18"/>
      <c r="C110" s="18"/>
      <c r="D110" s="18"/>
      <c r="E110" s="18"/>
      <c r="F110" s="88" t="s">
        <v>188</v>
      </c>
      <c r="G110" s="152" t="s">
        <v>26</v>
      </c>
      <c r="H110" s="171" t="n">
        <v>4</v>
      </c>
      <c r="I110" s="154"/>
      <c r="J110" s="154"/>
      <c r="K110" s="155"/>
      <c r="L110" s="155" t="n">
        <f aca="false">M110+N110</f>
        <v>0</v>
      </c>
      <c r="M110" s="155"/>
      <c r="N110" s="156"/>
      <c r="O110" s="157"/>
      <c r="P110" s="155"/>
      <c r="Q110" s="155" t="n">
        <f aca="false">R110+S110</f>
        <v>0</v>
      </c>
      <c r="R110" s="155"/>
      <c r="S110" s="156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customFormat="false" ht="15" hidden="false" customHeight="true" outlineLevel="0" collapsed="false">
      <c r="A111" s="54"/>
      <c r="B111" s="55" t="s">
        <v>94</v>
      </c>
      <c r="C111" s="56" t="s">
        <v>20</v>
      </c>
      <c r="D111" s="56"/>
      <c r="E111" s="56" t="s">
        <v>52</v>
      </c>
      <c r="F111" s="36"/>
      <c r="G111" s="158" t="s">
        <v>22</v>
      </c>
      <c r="H111" s="159" t="n">
        <v>6</v>
      </c>
      <c r="I111" s="160" t="n">
        <v>2</v>
      </c>
      <c r="J111" s="160" t="n">
        <v>2</v>
      </c>
      <c r="K111" s="161" t="n">
        <v>1436.03</v>
      </c>
      <c r="L111" s="161" t="n">
        <f aca="false">M111+N111</f>
        <v>563.84</v>
      </c>
      <c r="M111" s="161" t="n">
        <v>563.84</v>
      </c>
      <c r="N111" s="162"/>
      <c r="O111" s="163" t="n">
        <v>2</v>
      </c>
      <c r="P111" s="161"/>
      <c r="Q111" s="161" t="n">
        <f aca="false">R111+S111</f>
        <v>3894.06</v>
      </c>
      <c r="R111" s="161" t="n">
        <v>3894.06</v>
      </c>
      <c r="S111" s="16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customFormat="false" ht="15.75" hidden="false" customHeight="true" outlineLevel="0" collapsed="false">
      <c r="A112" s="54"/>
      <c r="B112" s="55"/>
      <c r="C112" s="55"/>
      <c r="D112" s="55"/>
      <c r="E112" s="55"/>
      <c r="F112" s="42" t="s">
        <v>189</v>
      </c>
      <c r="G112" s="164" t="s">
        <v>26</v>
      </c>
      <c r="H112" s="171" t="n">
        <v>6</v>
      </c>
      <c r="I112" s="154"/>
      <c r="J112" s="154"/>
      <c r="K112" s="155"/>
      <c r="L112" s="155" t="n">
        <f aca="false">M112+N112</f>
        <v>0</v>
      </c>
      <c r="M112" s="155"/>
      <c r="N112" s="156"/>
      <c r="O112" s="157" t="n">
        <v>1</v>
      </c>
      <c r="P112" s="155" t="n">
        <v>1585.8</v>
      </c>
      <c r="Q112" s="155" t="n">
        <f aca="false">R112+S112</f>
        <v>0</v>
      </c>
      <c r="R112" s="155"/>
      <c r="S112" s="156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customFormat="false" ht="15.75" hidden="false" customHeight="true" outlineLevel="0" collapsed="false">
      <c r="A113" s="33"/>
      <c r="B113" s="34" t="s">
        <v>95</v>
      </c>
      <c r="C113" s="35" t="s">
        <v>33</v>
      </c>
      <c r="D113" s="35" t="s">
        <v>96</v>
      </c>
      <c r="E113" s="35" t="s">
        <v>88</v>
      </c>
      <c r="F113" s="22"/>
      <c r="G113" s="146" t="s">
        <v>22</v>
      </c>
      <c r="H113" s="159" t="n">
        <v>14</v>
      </c>
      <c r="I113" s="160" t="n">
        <v>8</v>
      </c>
      <c r="J113" s="192" t="n">
        <v>8</v>
      </c>
      <c r="K113" s="161" t="n">
        <v>11316.44</v>
      </c>
      <c r="L113" s="161" t="n">
        <f aca="false">M113+N113</f>
        <v>4875.45</v>
      </c>
      <c r="M113" s="161" t="n">
        <v>4875.45</v>
      </c>
      <c r="N113" s="162"/>
      <c r="O113" s="163"/>
      <c r="P113" s="161"/>
      <c r="Q113" s="161" t="n">
        <f aca="false">R113+S113</f>
        <v>0</v>
      </c>
      <c r="R113" s="161"/>
      <c r="S113" s="16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customFormat="false" ht="15.75" hidden="false" customHeight="true" outlineLevel="0" collapsed="false">
      <c r="A114" s="33"/>
      <c r="B114" s="34"/>
      <c r="C114" s="34"/>
      <c r="D114" s="34"/>
      <c r="E114" s="34"/>
      <c r="F114" s="42"/>
      <c r="G114" s="164" t="s">
        <v>23</v>
      </c>
      <c r="H114" s="171" t="n">
        <v>5</v>
      </c>
      <c r="I114" s="165"/>
      <c r="J114" s="165"/>
      <c r="K114" s="166"/>
      <c r="L114" s="166" t="n">
        <f aca="false">M114+N114</f>
        <v>0</v>
      </c>
      <c r="M114" s="166"/>
      <c r="N114" s="167"/>
      <c r="O114" s="168" t="n">
        <v>1</v>
      </c>
      <c r="P114" s="166" t="n">
        <v>6167</v>
      </c>
      <c r="Q114" s="166" t="n">
        <f aca="false">R114+S114</f>
        <v>0</v>
      </c>
      <c r="R114" s="166"/>
      <c r="S114" s="167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customFormat="false" ht="15.75" hidden="false" customHeight="true" outlineLevel="0" collapsed="false">
      <c r="A115" s="72"/>
      <c r="B115" s="73" t="s">
        <v>97</v>
      </c>
      <c r="C115" s="74" t="s">
        <v>20</v>
      </c>
      <c r="D115" s="74"/>
      <c r="E115" s="74" t="s">
        <v>98</v>
      </c>
      <c r="F115" s="20"/>
      <c r="G115" s="146" t="s">
        <v>22</v>
      </c>
      <c r="H115" s="159" t="n">
        <v>3</v>
      </c>
      <c r="I115" s="148" t="n">
        <v>2</v>
      </c>
      <c r="J115" s="148" t="n">
        <v>2</v>
      </c>
      <c r="K115" s="149" t="n">
        <v>2223.64</v>
      </c>
      <c r="L115" s="149" t="n">
        <f aca="false">M115+N115</f>
        <v>0</v>
      </c>
      <c r="M115" s="149"/>
      <c r="N115" s="150"/>
      <c r="O115" s="151" t="n">
        <v>3</v>
      </c>
      <c r="P115" s="149"/>
      <c r="Q115" s="149" t="n">
        <f aca="false">R115+S115</f>
        <v>0</v>
      </c>
      <c r="R115" s="149"/>
      <c r="S115" s="150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customFormat="false" ht="15.75" hidden="false" customHeight="true" outlineLevel="0" collapsed="false">
      <c r="A116" s="72"/>
      <c r="B116" s="73"/>
      <c r="C116" s="73"/>
      <c r="D116" s="73"/>
      <c r="E116" s="73"/>
      <c r="F116" s="42"/>
      <c r="G116" s="164" t="s">
        <v>23</v>
      </c>
      <c r="H116" s="172" t="n">
        <v>5</v>
      </c>
      <c r="I116" s="165" t="n">
        <v>1</v>
      </c>
      <c r="J116" s="165" t="n">
        <v>1</v>
      </c>
      <c r="K116" s="166" t="n">
        <v>704.8</v>
      </c>
      <c r="L116" s="166" t="n">
        <f aca="false">M116+N116</f>
        <v>0</v>
      </c>
      <c r="M116" s="166"/>
      <c r="N116" s="167"/>
      <c r="O116" s="168" t="n">
        <v>8</v>
      </c>
      <c r="P116" s="166" t="n">
        <v>16210.4</v>
      </c>
      <c r="Q116" s="166" t="n">
        <f aca="false">R116+S116</f>
        <v>0</v>
      </c>
      <c r="R116" s="166"/>
      <c r="S116" s="167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customFormat="false" ht="15.75" hidden="false" customHeight="true" outlineLevel="0" collapsed="false">
      <c r="A117" s="17"/>
      <c r="B117" s="18" t="s">
        <v>156</v>
      </c>
      <c r="C117" s="19"/>
      <c r="D117" s="19"/>
      <c r="E117" s="19"/>
      <c r="F117" s="20"/>
      <c r="G117" s="146" t="s">
        <v>22</v>
      </c>
      <c r="H117" s="173" t="n">
        <v>3</v>
      </c>
      <c r="I117" s="148" t="n">
        <v>1</v>
      </c>
      <c r="J117" s="148" t="n">
        <v>1</v>
      </c>
      <c r="K117" s="149" t="n">
        <v>6364.34</v>
      </c>
      <c r="L117" s="149" t="n">
        <f aca="false">M117+N117</f>
        <v>0</v>
      </c>
      <c r="M117" s="149"/>
      <c r="N117" s="150"/>
      <c r="O117" s="151"/>
      <c r="P117" s="149"/>
      <c r="Q117" s="149" t="n">
        <f aca="false">R117+S117</f>
        <v>0</v>
      </c>
      <c r="R117" s="149"/>
      <c r="S117" s="150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customFormat="false" ht="15.75" hidden="false" customHeight="true" outlineLevel="0" collapsed="false">
      <c r="A118" s="17"/>
      <c r="B118" s="18"/>
      <c r="C118" s="18"/>
      <c r="D118" s="18"/>
      <c r="E118" s="18"/>
      <c r="F118" s="97"/>
      <c r="G118" s="187" t="s">
        <v>26</v>
      </c>
      <c r="H118" s="172"/>
      <c r="I118" s="188"/>
      <c r="J118" s="188"/>
      <c r="K118" s="189"/>
      <c r="L118" s="189" t="n">
        <f aca="false">M118+N118</f>
        <v>0</v>
      </c>
      <c r="M118" s="189"/>
      <c r="N118" s="190"/>
      <c r="O118" s="191"/>
      <c r="P118" s="189"/>
      <c r="Q118" s="189" t="n">
        <f aca="false">R118+S118</f>
        <v>0</v>
      </c>
      <c r="R118" s="189"/>
      <c r="S118" s="190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customFormat="false" ht="15.75" hidden="false" customHeight="true" outlineLevel="0" collapsed="false">
      <c r="A119" s="17"/>
      <c r="B119" s="18"/>
      <c r="C119" s="18"/>
      <c r="D119" s="18"/>
      <c r="E119" s="18"/>
      <c r="F119" s="71"/>
      <c r="G119" s="164" t="s">
        <v>23</v>
      </c>
      <c r="H119" s="177"/>
      <c r="I119" s="165"/>
      <c r="J119" s="165"/>
      <c r="K119" s="166"/>
      <c r="L119" s="166" t="n">
        <f aca="false">M119+N119</f>
        <v>0</v>
      </c>
      <c r="M119" s="166"/>
      <c r="N119" s="167"/>
      <c r="O119" s="168"/>
      <c r="P119" s="166"/>
      <c r="Q119" s="166" t="n">
        <f aca="false">R119+S119</f>
        <v>0</v>
      </c>
      <c r="R119" s="166"/>
      <c r="S119" s="167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customFormat="false" ht="15.75" hidden="false" customHeight="true" outlineLevel="0" collapsed="false">
      <c r="A120" s="17"/>
      <c r="B120" s="18" t="s">
        <v>190</v>
      </c>
      <c r="C120" s="19"/>
      <c r="D120" s="19"/>
      <c r="E120" s="19"/>
      <c r="F120" s="20"/>
      <c r="G120" s="146" t="s">
        <v>22</v>
      </c>
      <c r="H120" s="173" t="n">
        <v>4</v>
      </c>
      <c r="I120" s="148"/>
      <c r="J120" s="148"/>
      <c r="K120" s="149"/>
      <c r="L120" s="149" t="n">
        <f aca="false">M120+N120</f>
        <v>0</v>
      </c>
      <c r="M120" s="149"/>
      <c r="N120" s="150"/>
      <c r="O120" s="151"/>
      <c r="P120" s="149"/>
      <c r="Q120" s="149" t="n">
        <f aca="false">R120+S120</f>
        <v>0</v>
      </c>
      <c r="R120" s="149"/>
      <c r="S120" s="150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customFormat="false" ht="15.75" hidden="false" customHeight="true" outlineLevel="0" collapsed="false">
      <c r="A121" s="17"/>
      <c r="B121" s="18"/>
      <c r="C121" s="18"/>
      <c r="D121" s="18"/>
      <c r="E121" s="18"/>
      <c r="F121" s="57"/>
      <c r="G121" s="152" t="s">
        <v>23</v>
      </c>
      <c r="H121" s="174"/>
      <c r="I121" s="154"/>
      <c r="J121" s="154"/>
      <c r="K121" s="155"/>
      <c r="L121" s="155" t="n">
        <f aca="false">M121+N121</f>
        <v>0</v>
      </c>
      <c r="M121" s="155"/>
      <c r="N121" s="156"/>
      <c r="O121" s="157"/>
      <c r="P121" s="155"/>
      <c r="Q121" s="155" t="n">
        <f aca="false">R121+S121</f>
        <v>0</v>
      </c>
      <c r="R121" s="155"/>
      <c r="S121" s="156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customFormat="false" ht="15.75" hidden="false" customHeight="true" outlineLevel="0" collapsed="false">
      <c r="A122" s="54"/>
      <c r="B122" s="55" t="s">
        <v>99</v>
      </c>
      <c r="C122" s="56" t="s">
        <v>33</v>
      </c>
      <c r="D122" s="56" t="s">
        <v>100</v>
      </c>
      <c r="E122" s="56" t="s">
        <v>101</v>
      </c>
      <c r="F122" s="36"/>
      <c r="G122" s="158" t="s">
        <v>22</v>
      </c>
      <c r="H122" s="159" t="n">
        <v>13</v>
      </c>
      <c r="I122" s="160" t="n">
        <v>12</v>
      </c>
      <c r="J122" s="160" t="n">
        <v>12</v>
      </c>
      <c r="K122" s="161" t="n">
        <v>3435.9</v>
      </c>
      <c r="L122" s="161" t="n">
        <f aca="false">M122+N122</f>
        <v>396.45</v>
      </c>
      <c r="M122" s="161"/>
      <c r="N122" s="162" t="n">
        <v>396.45</v>
      </c>
      <c r="O122" s="163" t="n">
        <v>6</v>
      </c>
      <c r="P122" s="161"/>
      <c r="Q122" s="161" t="n">
        <f aca="false">R122+S122</f>
        <v>13683.26</v>
      </c>
      <c r="R122" s="161"/>
      <c r="S122" s="162" t="n">
        <v>13683.26</v>
      </c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customFormat="false" ht="15.75" hidden="false" customHeight="true" outlineLevel="0" collapsed="false">
      <c r="A123" s="54"/>
      <c r="B123" s="55"/>
      <c r="C123" s="55"/>
      <c r="D123" s="55"/>
      <c r="E123" s="55"/>
      <c r="F123" s="80" t="s">
        <v>191</v>
      </c>
      <c r="G123" s="180" t="s">
        <v>26</v>
      </c>
      <c r="H123" s="169" t="n">
        <v>5</v>
      </c>
      <c r="I123" s="181"/>
      <c r="J123" s="181"/>
      <c r="K123" s="182"/>
      <c r="L123" s="182" t="n">
        <f aca="false">M123+N123</f>
        <v>0</v>
      </c>
      <c r="M123" s="182"/>
      <c r="N123" s="183"/>
      <c r="O123" s="184" t="n">
        <v>2</v>
      </c>
      <c r="P123" s="182" t="n">
        <v>5374.1</v>
      </c>
      <c r="Q123" s="182" t="n">
        <f aca="false">R123+S123</f>
        <v>0</v>
      </c>
      <c r="R123" s="182"/>
      <c r="S123" s="183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customFormat="false" ht="15.75" hidden="false" customHeight="true" outlineLevel="0" collapsed="false">
      <c r="A124" s="54"/>
      <c r="B124" s="55"/>
      <c r="C124" s="55"/>
      <c r="D124" s="55"/>
      <c r="E124" s="55"/>
      <c r="F124" s="42"/>
      <c r="G124" s="164" t="s">
        <v>23</v>
      </c>
      <c r="H124" s="175"/>
      <c r="I124" s="165"/>
      <c r="J124" s="165"/>
      <c r="K124" s="166"/>
      <c r="L124" s="166" t="n">
        <f aca="false">M124+N124</f>
        <v>0</v>
      </c>
      <c r="M124" s="166"/>
      <c r="N124" s="167"/>
      <c r="O124" s="168"/>
      <c r="P124" s="166"/>
      <c r="Q124" s="166" t="n">
        <f aca="false">R124+S124</f>
        <v>0</v>
      </c>
      <c r="R124" s="166"/>
      <c r="S124" s="167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customFormat="false" ht="15.75" hidden="false" customHeight="true" outlineLevel="0" collapsed="false">
      <c r="A125" s="17"/>
      <c r="B125" s="18" t="s">
        <v>224</v>
      </c>
      <c r="C125" s="19"/>
      <c r="D125" s="19"/>
      <c r="E125" s="19"/>
      <c r="F125" s="20"/>
      <c r="G125" s="146" t="s">
        <v>22</v>
      </c>
      <c r="H125" s="147" t="n">
        <v>1</v>
      </c>
      <c r="I125" s="148"/>
      <c r="J125" s="148"/>
      <c r="K125" s="149"/>
      <c r="L125" s="149" t="n">
        <f aca="false">M125+N125</f>
        <v>0</v>
      </c>
      <c r="M125" s="149"/>
      <c r="N125" s="150"/>
      <c r="O125" s="151"/>
      <c r="P125" s="149"/>
      <c r="Q125" s="149" t="n">
        <f aca="false">R125+S125</f>
        <v>0</v>
      </c>
      <c r="R125" s="149"/>
      <c r="S125" s="150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customFormat="false" ht="15.75" hidden="false" customHeight="true" outlineLevel="0" collapsed="false">
      <c r="A126" s="17"/>
      <c r="B126" s="18"/>
      <c r="C126" s="18"/>
      <c r="D126" s="18"/>
      <c r="E126" s="18"/>
      <c r="F126" s="57"/>
      <c r="G126" s="152" t="s">
        <v>26</v>
      </c>
      <c r="H126" s="176" t="n">
        <v>2</v>
      </c>
      <c r="I126" s="154"/>
      <c r="J126" s="154"/>
      <c r="K126" s="155"/>
      <c r="L126" s="155" t="n">
        <f aca="false">M126+N126</f>
        <v>0</v>
      </c>
      <c r="M126" s="155"/>
      <c r="N126" s="156"/>
      <c r="O126" s="157"/>
      <c r="P126" s="155"/>
      <c r="Q126" s="155" t="n">
        <f aca="false">R126+S126</f>
        <v>0</v>
      </c>
      <c r="R126" s="155"/>
      <c r="S126" s="156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customFormat="false" ht="15.75" hidden="false" customHeight="true" outlineLevel="0" collapsed="false">
      <c r="A127" s="33"/>
      <c r="B127" s="34" t="s">
        <v>102</v>
      </c>
      <c r="C127" s="35" t="s">
        <v>20</v>
      </c>
      <c r="D127" s="35"/>
      <c r="E127" s="35" t="s">
        <v>25</v>
      </c>
      <c r="F127" s="36"/>
      <c r="G127" s="158" t="s">
        <v>22</v>
      </c>
      <c r="H127" s="169" t="n">
        <v>8</v>
      </c>
      <c r="I127" s="160" t="n">
        <v>2</v>
      </c>
      <c r="J127" s="160" t="n">
        <v>2</v>
      </c>
      <c r="K127" s="161" t="n">
        <v>1057.2</v>
      </c>
      <c r="L127" s="161" t="n">
        <f aca="false">M127+N127</f>
        <v>0</v>
      </c>
      <c r="M127" s="161"/>
      <c r="N127" s="162"/>
      <c r="O127" s="163" t="n">
        <v>3</v>
      </c>
      <c r="P127" s="161"/>
      <c r="Q127" s="161" t="n">
        <f aca="false">R127+S127</f>
        <v>649.3</v>
      </c>
      <c r="R127" s="161"/>
      <c r="S127" s="162" t="n">
        <v>649.3</v>
      </c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customFormat="false" ht="15.75" hidden="false" customHeight="true" outlineLevel="0" collapsed="false">
      <c r="A128" s="33"/>
      <c r="B128" s="34"/>
      <c r="C128" s="34"/>
      <c r="D128" s="34"/>
      <c r="E128" s="34"/>
      <c r="F128" s="42" t="s">
        <v>192</v>
      </c>
      <c r="G128" s="164" t="s">
        <v>26</v>
      </c>
      <c r="H128" s="153" t="n">
        <v>2</v>
      </c>
      <c r="I128" s="165"/>
      <c r="J128" s="165"/>
      <c r="K128" s="166"/>
      <c r="L128" s="166" t="n">
        <f aca="false">M128+N128</f>
        <v>0</v>
      </c>
      <c r="M128" s="166"/>
      <c r="N128" s="167"/>
      <c r="O128" s="168"/>
      <c r="P128" s="166" t="n">
        <v>2995.4</v>
      </c>
      <c r="Q128" s="166" t="n">
        <f aca="false">R128+S128</f>
        <v>0</v>
      </c>
      <c r="R128" s="166"/>
      <c r="S128" s="167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customFormat="false" ht="15" hidden="false" customHeight="true" outlineLevel="0" collapsed="false">
      <c r="A129" s="17"/>
      <c r="B129" s="18" t="s">
        <v>103</v>
      </c>
      <c r="C129" s="19" t="s">
        <v>20</v>
      </c>
      <c r="D129" s="19"/>
      <c r="E129" s="19" t="s">
        <v>52</v>
      </c>
      <c r="F129" s="20"/>
      <c r="G129" s="146" t="s">
        <v>22</v>
      </c>
      <c r="H129" s="169"/>
      <c r="I129" s="148"/>
      <c r="J129" s="148"/>
      <c r="K129" s="149"/>
      <c r="L129" s="149" t="n">
        <f aca="false">M129+N129</f>
        <v>0</v>
      </c>
      <c r="M129" s="149"/>
      <c r="N129" s="150"/>
      <c r="O129" s="151" t="n">
        <v>2</v>
      </c>
      <c r="P129" s="149"/>
      <c r="Q129" s="149" t="n">
        <f aca="false">R129+S129</f>
        <v>0</v>
      </c>
      <c r="R129" s="149"/>
      <c r="S129" s="150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customFormat="false" ht="15.75" hidden="false" customHeight="true" outlineLevel="0" collapsed="false">
      <c r="A130" s="17"/>
      <c r="B130" s="18"/>
      <c r="C130" s="18"/>
      <c r="D130" s="18"/>
      <c r="E130" s="18"/>
      <c r="F130" s="26" t="s">
        <v>193</v>
      </c>
      <c r="G130" s="152" t="s">
        <v>26</v>
      </c>
      <c r="H130" s="171" t="n">
        <v>6</v>
      </c>
      <c r="I130" s="154"/>
      <c r="J130" s="154"/>
      <c r="K130" s="155"/>
      <c r="L130" s="155" t="n">
        <f aca="false">M130+N130</f>
        <v>0</v>
      </c>
      <c r="M130" s="155"/>
      <c r="N130" s="156"/>
      <c r="O130" s="157" t="n">
        <v>2</v>
      </c>
      <c r="P130" s="155" t="n">
        <v>2290.6</v>
      </c>
      <c r="Q130" s="155" t="n">
        <f aca="false">R130+S130</f>
        <v>0</v>
      </c>
      <c r="R130" s="155"/>
      <c r="S130" s="156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customFormat="false" ht="15" hidden="false" customHeight="true" outlineLevel="0" collapsed="false">
      <c r="A131" s="54"/>
      <c r="B131" s="55" t="s">
        <v>104</v>
      </c>
      <c r="C131" s="56" t="s">
        <v>20</v>
      </c>
      <c r="D131" s="56"/>
      <c r="E131" s="56" t="s">
        <v>25</v>
      </c>
      <c r="F131" s="22"/>
      <c r="G131" s="146" t="s">
        <v>22</v>
      </c>
      <c r="H131" s="169"/>
      <c r="I131" s="160"/>
      <c r="J131" s="160"/>
      <c r="K131" s="161"/>
      <c r="L131" s="161" t="n">
        <f aca="false">M131+N131</f>
        <v>0</v>
      </c>
      <c r="M131" s="161"/>
      <c r="N131" s="162"/>
      <c r="O131" s="163"/>
      <c r="P131" s="161"/>
      <c r="Q131" s="161" t="n">
        <f aca="false">R131+S131</f>
        <v>0</v>
      </c>
      <c r="R131" s="161"/>
      <c r="S131" s="16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customFormat="false" ht="15.75" hidden="false" customHeight="true" outlineLevel="0" collapsed="false">
      <c r="A132" s="54"/>
      <c r="B132" s="55"/>
      <c r="C132" s="55"/>
      <c r="D132" s="55"/>
      <c r="E132" s="55"/>
      <c r="F132" s="57"/>
      <c r="G132" s="152" t="s">
        <v>26</v>
      </c>
      <c r="H132" s="153"/>
      <c r="I132" s="154"/>
      <c r="J132" s="154"/>
      <c r="K132" s="155"/>
      <c r="L132" s="155" t="n">
        <f aca="false">M132+N132</f>
        <v>0</v>
      </c>
      <c r="M132" s="155"/>
      <c r="N132" s="156"/>
      <c r="O132" s="157"/>
      <c r="P132" s="155"/>
      <c r="Q132" s="155" t="n">
        <f aca="false">R132+S132</f>
        <v>0</v>
      </c>
      <c r="R132" s="155"/>
      <c r="S132" s="156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customFormat="false" ht="15.75" hidden="false" customHeight="true" outlineLevel="0" collapsed="false">
      <c r="A133" s="33"/>
      <c r="B133" s="34" t="s">
        <v>105</v>
      </c>
      <c r="C133" s="35" t="s">
        <v>33</v>
      </c>
      <c r="D133" s="35" t="s">
        <v>106</v>
      </c>
      <c r="E133" s="35" t="s">
        <v>107</v>
      </c>
      <c r="F133" s="36"/>
      <c r="G133" s="146" t="s">
        <v>22</v>
      </c>
      <c r="H133" s="169"/>
      <c r="I133" s="160"/>
      <c r="J133" s="160"/>
      <c r="K133" s="161"/>
      <c r="L133" s="161" t="n">
        <f aca="false">M133+N133</f>
        <v>0</v>
      </c>
      <c r="M133" s="161"/>
      <c r="N133" s="162"/>
      <c r="O133" s="163" t="n">
        <v>7</v>
      </c>
      <c r="P133" s="161"/>
      <c r="Q133" s="161" t="n">
        <f aca="false">R133+S133</f>
        <v>7780.05</v>
      </c>
      <c r="R133" s="161" t="n">
        <v>7780.05</v>
      </c>
      <c r="S133" s="16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customFormat="false" ht="15.75" hidden="false" customHeight="true" outlineLevel="0" collapsed="false">
      <c r="A134" s="33"/>
      <c r="B134" s="34"/>
      <c r="C134" s="34"/>
      <c r="D134" s="34"/>
      <c r="E134" s="34"/>
      <c r="F134" s="42" t="s">
        <v>194</v>
      </c>
      <c r="G134" s="164" t="s">
        <v>26</v>
      </c>
      <c r="H134" s="153" t="n">
        <v>1</v>
      </c>
      <c r="I134" s="165"/>
      <c r="J134" s="165"/>
      <c r="K134" s="166"/>
      <c r="L134" s="166" t="n">
        <v>881</v>
      </c>
      <c r="M134" s="166" t="n">
        <v>881</v>
      </c>
      <c r="N134" s="167"/>
      <c r="O134" s="168" t="n">
        <v>6</v>
      </c>
      <c r="P134" s="166" t="n">
        <v>23645.16</v>
      </c>
      <c r="Q134" s="166" t="n">
        <f aca="false">R134+S134</f>
        <v>0</v>
      </c>
      <c r="R134" s="166"/>
      <c r="S134" s="167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customFormat="false" ht="15.75" hidden="false" customHeight="true" outlineLevel="0" collapsed="false">
      <c r="A135" s="72"/>
      <c r="B135" s="73" t="s">
        <v>108</v>
      </c>
      <c r="C135" s="74" t="s">
        <v>33</v>
      </c>
      <c r="D135" s="74" t="s">
        <v>109</v>
      </c>
      <c r="E135" s="74" t="s">
        <v>25</v>
      </c>
      <c r="F135" s="20"/>
      <c r="G135" s="146" t="s">
        <v>22</v>
      </c>
      <c r="H135" s="159" t="n">
        <v>6</v>
      </c>
      <c r="I135" s="148" t="n">
        <v>5</v>
      </c>
      <c r="J135" s="148" t="n">
        <v>6</v>
      </c>
      <c r="K135" s="149" t="n">
        <v>11519.11</v>
      </c>
      <c r="L135" s="149" t="n">
        <f aca="false">M135+N135</f>
        <v>0</v>
      </c>
      <c r="M135" s="149"/>
      <c r="N135" s="150"/>
      <c r="O135" s="151" t="n">
        <v>7</v>
      </c>
      <c r="P135" s="149"/>
      <c r="Q135" s="149" t="n">
        <f aca="false">R135+S135</f>
        <v>3347.8</v>
      </c>
      <c r="R135" s="149"/>
      <c r="S135" s="150" t="n">
        <v>3347.8</v>
      </c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customFormat="false" ht="15.75" hidden="false" customHeight="true" outlineLevel="0" collapsed="false">
      <c r="A136" s="72"/>
      <c r="B136" s="73"/>
      <c r="C136" s="73"/>
      <c r="D136" s="73"/>
      <c r="E136" s="73"/>
      <c r="F136" s="42" t="s">
        <v>195</v>
      </c>
      <c r="G136" s="164" t="s">
        <v>26</v>
      </c>
      <c r="H136" s="171" t="n">
        <v>5</v>
      </c>
      <c r="I136" s="165"/>
      <c r="J136" s="165"/>
      <c r="K136" s="166" t="n">
        <v>11699.68</v>
      </c>
      <c r="L136" s="166" t="n">
        <f aca="false">M136+N136</f>
        <v>0</v>
      </c>
      <c r="M136" s="166"/>
      <c r="N136" s="167"/>
      <c r="O136" s="168" t="n">
        <v>4</v>
      </c>
      <c r="P136" s="166" t="n">
        <v>28103.9</v>
      </c>
      <c r="Q136" s="166" t="n">
        <f aca="false">R136+S136</f>
        <v>0</v>
      </c>
      <c r="R136" s="166"/>
      <c r="S136" s="167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customFormat="false" ht="15.75" hidden="false" customHeight="true" outlineLevel="0" collapsed="false">
      <c r="A137" s="17"/>
      <c r="B137" s="18" t="s">
        <v>110</v>
      </c>
      <c r="C137" s="19" t="s">
        <v>33</v>
      </c>
      <c r="D137" s="19" t="s">
        <v>111</v>
      </c>
      <c r="E137" s="19" t="s">
        <v>25</v>
      </c>
      <c r="F137" s="20"/>
      <c r="G137" s="146" t="s">
        <v>22</v>
      </c>
      <c r="H137" s="159" t="n">
        <v>16</v>
      </c>
      <c r="I137" s="148" t="n">
        <v>14</v>
      </c>
      <c r="J137" s="193" t="n">
        <v>15</v>
      </c>
      <c r="K137" s="149" t="n">
        <v>15386.18</v>
      </c>
      <c r="L137" s="149" t="n">
        <f aca="false">M137+N137</f>
        <v>1494.18</v>
      </c>
      <c r="M137" s="149" t="n">
        <v>1494.18</v>
      </c>
      <c r="N137" s="150"/>
      <c r="O137" s="151" t="n">
        <v>6</v>
      </c>
      <c r="P137" s="149"/>
      <c r="Q137" s="149" t="n">
        <f aca="false">R137+S137</f>
        <v>8854.81</v>
      </c>
      <c r="R137" s="149" t="n">
        <v>8854.81</v>
      </c>
      <c r="S137" s="150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customFormat="false" ht="15.75" hidden="false" customHeight="true" outlineLevel="0" collapsed="false">
      <c r="A138" s="17"/>
      <c r="B138" s="18"/>
      <c r="C138" s="18"/>
      <c r="D138" s="18"/>
      <c r="E138" s="18"/>
      <c r="F138" s="26" t="s">
        <v>196</v>
      </c>
      <c r="G138" s="152" t="s">
        <v>26</v>
      </c>
      <c r="H138" s="153" t="n">
        <v>0</v>
      </c>
      <c r="I138" s="154" t="n">
        <v>1</v>
      </c>
      <c r="J138" s="154" t="n">
        <v>1</v>
      </c>
      <c r="K138" s="155"/>
      <c r="L138" s="155" t="n">
        <f aca="false">M138+N138</f>
        <v>0</v>
      </c>
      <c r="M138" s="155"/>
      <c r="N138" s="156"/>
      <c r="O138" s="157" t="n">
        <v>3</v>
      </c>
      <c r="P138" s="155"/>
      <c r="Q138" s="155" t="n">
        <f aca="false">R138+S138</f>
        <v>0</v>
      </c>
      <c r="R138" s="155"/>
      <c r="S138" s="156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customFormat="false" ht="15.75" hidden="false" customHeight="true" outlineLevel="0" collapsed="false">
      <c r="A139" s="33"/>
      <c r="B139" s="34" t="s">
        <v>112</v>
      </c>
      <c r="C139" s="35" t="s">
        <v>20</v>
      </c>
      <c r="D139" s="35" t="s">
        <v>197</v>
      </c>
      <c r="E139" s="35" t="s">
        <v>25</v>
      </c>
      <c r="F139" s="36"/>
      <c r="G139" s="146" t="s">
        <v>22</v>
      </c>
      <c r="H139" s="159" t="n">
        <v>5</v>
      </c>
      <c r="I139" s="160" t="n">
        <v>4</v>
      </c>
      <c r="J139" s="160" t="n">
        <v>5</v>
      </c>
      <c r="K139" s="140" t="n">
        <v>9984.81</v>
      </c>
      <c r="L139" s="140" t="n">
        <f aca="false">M139+N139</f>
        <v>1162.92</v>
      </c>
      <c r="M139" s="140" t="n">
        <v>116.25</v>
      </c>
      <c r="N139" s="162" t="n">
        <v>1046.67</v>
      </c>
      <c r="O139" s="163" t="n">
        <v>1</v>
      </c>
      <c r="P139" s="161"/>
      <c r="Q139" s="161" t="n">
        <f aca="false">R139+S139</f>
        <v>0</v>
      </c>
      <c r="R139" s="161"/>
      <c r="S139" s="16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customFormat="false" ht="15.75" hidden="false" customHeight="true" outlineLevel="0" collapsed="false">
      <c r="A140" s="33"/>
      <c r="B140" s="34"/>
      <c r="C140" s="34"/>
      <c r="D140" s="34"/>
      <c r="E140" s="34"/>
      <c r="F140" s="26" t="s">
        <v>198</v>
      </c>
      <c r="G140" s="152" t="s">
        <v>26</v>
      </c>
      <c r="H140" s="171" t="n">
        <v>1</v>
      </c>
      <c r="I140" s="165"/>
      <c r="J140" s="165"/>
      <c r="K140" s="166"/>
      <c r="L140" s="166" t="n">
        <f aca="false">M140+N140</f>
        <v>0</v>
      </c>
      <c r="M140" s="166"/>
      <c r="N140" s="167"/>
      <c r="O140" s="168" t="n">
        <v>1</v>
      </c>
      <c r="P140" s="166" t="n">
        <v>2114.4</v>
      </c>
      <c r="Q140" s="166" t="n">
        <f aca="false">R140+S140</f>
        <v>0</v>
      </c>
      <c r="R140" s="166"/>
      <c r="S140" s="167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customFormat="false" ht="15" hidden="false" customHeight="true" outlineLevel="0" collapsed="false">
      <c r="A141" s="17"/>
      <c r="B141" s="18" t="s">
        <v>113</v>
      </c>
      <c r="C141" s="19" t="s">
        <v>20</v>
      </c>
      <c r="D141" s="19"/>
      <c r="E141" s="19" t="s">
        <v>31</v>
      </c>
      <c r="F141" s="36"/>
      <c r="G141" s="146" t="s">
        <v>22</v>
      </c>
      <c r="H141" s="159" t="n">
        <v>3</v>
      </c>
      <c r="I141" s="148" t="n">
        <v>3</v>
      </c>
      <c r="J141" s="148" t="n">
        <v>3</v>
      </c>
      <c r="K141" s="149" t="n">
        <v>4858.85</v>
      </c>
      <c r="L141" s="149" t="n">
        <f aca="false">M141+N141</f>
        <v>4858.85</v>
      </c>
      <c r="M141" s="149" t="n">
        <v>4858.85</v>
      </c>
      <c r="N141" s="150"/>
      <c r="O141" s="151" t="n">
        <v>1</v>
      </c>
      <c r="P141" s="149"/>
      <c r="Q141" s="149" t="n">
        <f aca="false">R141+S141</f>
        <v>1583.16</v>
      </c>
      <c r="R141" s="149" t="n">
        <v>1583.16</v>
      </c>
      <c r="S141" s="150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customFormat="false" ht="15.75" hidden="false" customHeight="true" outlineLevel="0" collapsed="false">
      <c r="A142" s="17"/>
      <c r="B142" s="18"/>
      <c r="C142" s="18"/>
      <c r="D142" s="18"/>
      <c r="E142" s="18"/>
      <c r="F142" s="57"/>
      <c r="G142" s="152" t="s">
        <v>26</v>
      </c>
      <c r="H142" s="153"/>
      <c r="I142" s="154"/>
      <c r="J142" s="154"/>
      <c r="K142" s="155"/>
      <c r="L142" s="155" t="n">
        <f aca="false">M142+N142</f>
        <v>0</v>
      </c>
      <c r="M142" s="155"/>
      <c r="N142" s="156"/>
      <c r="O142" s="157"/>
      <c r="P142" s="155"/>
      <c r="Q142" s="155" t="n">
        <f aca="false">R142+S142</f>
        <v>0</v>
      </c>
      <c r="R142" s="155"/>
      <c r="S142" s="156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customFormat="false" ht="15" hidden="false" customHeight="true" outlineLevel="0" collapsed="false">
      <c r="A143" s="33"/>
      <c r="B143" s="34" t="s">
        <v>114</v>
      </c>
      <c r="C143" s="35" t="s">
        <v>20</v>
      </c>
      <c r="D143" s="95"/>
      <c r="E143" s="35" t="s">
        <v>25</v>
      </c>
      <c r="F143" s="71"/>
      <c r="G143" s="146" t="s">
        <v>22</v>
      </c>
      <c r="H143" s="169"/>
      <c r="I143" s="160"/>
      <c r="J143" s="160"/>
      <c r="K143" s="161"/>
      <c r="L143" s="161" t="n">
        <f aca="false">M143+N143</f>
        <v>0</v>
      </c>
      <c r="M143" s="161"/>
      <c r="N143" s="162"/>
      <c r="O143" s="163"/>
      <c r="P143" s="161"/>
      <c r="Q143" s="161" t="n">
        <f aca="false">R143+S143</f>
        <v>0</v>
      </c>
      <c r="R143" s="161"/>
      <c r="S143" s="16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customFormat="false" ht="15.75" hidden="false" customHeight="true" outlineLevel="0" collapsed="false">
      <c r="A144" s="33"/>
      <c r="B144" s="34"/>
      <c r="C144" s="34"/>
      <c r="D144" s="34"/>
      <c r="E144" s="34"/>
      <c r="F144" s="42" t="s">
        <v>199</v>
      </c>
      <c r="G144" s="164" t="s">
        <v>26</v>
      </c>
      <c r="H144" s="175" t="n">
        <v>2</v>
      </c>
      <c r="I144" s="165"/>
      <c r="J144" s="165"/>
      <c r="K144" s="166"/>
      <c r="L144" s="166" t="n">
        <f aca="false">M144+N144</f>
        <v>0</v>
      </c>
      <c r="M144" s="166"/>
      <c r="N144" s="167"/>
      <c r="O144" s="168"/>
      <c r="P144" s="166"/>
      <c r="Q144" s="166" t="n">
        <f aca="false">R144+S144</f>
        <v>0</v>
      </c>
      <c r="R144" s="166"/>
      <c r="S144" s="167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customFormat="false" ht="15.75" hidden="false" customHeight="true" outlineLevel="0" collapsed="false">
      <c r="A145" s="17"/>
      <c r="B145" s="18" t="s">
        <v>200</v>
      </c>
      <c r="C145" s="141"/>
      <c r="D145" s="19"/>
      <c r="E145" s="19"/>
      <c r="F145" s="20"/>
      <c r="G145" s="146" t="s">
        <v>22</v>
      </c>
      <c r="H145" s="173" t="n">
        <v>7</v>
      </c>
      <c r="I145" s="148" t="n">
        <v>5</v>
      </c>
      <c r="J145" s="148" t="n">
        <v>5</v>
      </c>
      <c r="K145" s="149" t="n">
        <v>1409.6</v>
      </c>
      <c r="L145" s="149" t="n">
        <f aca="false">M145+N145</f>
        <v>0</v>
      </c>
      <c r="M145" s="149"/>
      <c r="N145" s="150"/>
      <c r="O145" s="151"/>
      <c r="P145" s="149"/>
      <c r="Q145" s="149" t="n">
        <f aca="false">R145+S145</f>
        <v>0</v>
      </c>
      <c r="R145" s="149"/>
      <c r="S145" s="150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customFormat="false" ht="15.75" hidden="false" customHeight="true" outlineLevel="0" collapsed="false">
      <c r="A146" s="17"/>
      <c r="B146" s="18"/>
      <c r="C146" s="18"/>
      <c r="D146" s="18"/>
      <c r="E146" s="18"/>
      <c r="F146" s="57"/>
      <c r="G146" s="152" t="s">
        <v>26</v>
      </c>
      <c r="H146" s="174" t="n">
        <v>4</v>
      </c>
      <c r="I146" s="154"/>
      <c r="J146" s="154"/>
      <c r="K146" s="155"/>
      <c r="L146" s="155" t="n">
        <f aca="false">M146+N146</f>
        <v>0</v>
      </c>
      <c r="M146" s="155"/>
      <c r="N146" s="156"/>
      <c r="O146" s="157"/>
      <c r="P146" s="155"/>
      <c r="Q146" s="155" t="n">
        <f aca="false">R146+S146</f>
        <v>0</v>
      </c>
      <c r="R146" s="155"/>
      <c r="S146" s="156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customFormat="false" ht="15.75" hidden="false" customHeight="true" outlineLevel="0" collapsed="false">
      <c r="A147" s="54"/>
      <c r="B147" s="55" t="s">
        <v>115</v>
      </c>
      <c r="C147" s="56" t="s">
        <v>20</v>
      </c>
      <c r="D147" s="56"/>
      <c r="E147" s="56" t="s">
        <v>116</v>
      </c>
      <c r="F147" s="36"/>
      <c r="G147" s="158" t="s">
        <v>22</v>
      </c>
      <c r="H147" s="159" t="n">
        <v>6</v>
      </c>
      <c r="I147" s="160" t="n">
        <v>5</v>
      </c>
      <c r="J147" s="160" t="n">
        <v>5</v>
      </c>
      <c r="K147" s="161" t="n">
        <v>2886.16</v>
      </c>
      <c r="L147" s="161" t="n">
        <f aca="false">M147+N147</f>
        <v>264.3</v>
      </c>
      <c r="M147" s="161" t="n">
        <v>264.3</v>
      </c>
      <c r="N147" s="162"/>
      <c r="O147" s="163" t="n">
        <v>7</v>
      </c>
      <c r="P147" s="161"/>
      <c r="Q147" s="161" t="n">
        <f aca="false">R147+S147</f>
        <v>4414.68</v>
      </c>
      <c r="R147" s="161" t="n">
        <v>4414.68</v>
      </c>
      <c r="S147" s="16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customFormat="false" ht="15.75" hidden="false" customHeight="true" outlineLevel="0" collapsed="false">
      <c r="A148" s="54"/>
      <c r="B148" s="55"/>
      <c r="C148" s="55"/>
      <c r="D148" s="55"/>
      <c r="E148" s="55"/>
      <c r="F148" s="42" t="s">
        <v>201</v>
      </c>
      <c r="G148" s="164" t="s">
        <v>26</v>
      </c>
      <c r="H148" s="172" t="n">
        <v>5</v>
      </c>
      <c r="I148" s="165" t="n">
        <v>1</v>
      </c>
      <c r="J148" s="165" t="n">
        <v>1</v>
      </c>
      <c r="K148" s="166" t="n">
        <v>5286</v>
      </c>
      <c r="L148" s="166" t="n">
        <v>881</v>
      </c>
      <c r="M148" s="166" t="n">
        <v>881</v>
      </c>
      <c r="N148" s="167"/>
      <c r="O148" s="168" t="n">
        <v>8</v>
      </c>
      <c r="P148" s="166" t="n">
        <v>881</v>
      </c>
      <c r="Q148" s="166" t="n">
        <f aca="false">R148+S148</f>
        <v>0</v>
      </c>
      <c r="R148" s="166"/>
      <c r="S148" s="167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customFormat="false" ht="15" hidden="false" customHeight="true" outlineLevel="0" collapsed="false">
      <c r="A149" s="17"/>
      <c r="B149" s="18" t="s">
        <v>157</v>
      </c>
      <c r="C149" s="19"/>
      <c r="D149" s="19"/>
      <c r="E149" s="127"/>
      <c r="F149" s="22"/>
      <c r="G149" s="146" t="s">
        <v>22</v>
      </c>
      <c r="H149" s="147" t="n">
        <v>2</v>
      </c>
      <c r="I149" s="148" t="n">
        <v>1</v>
      </c>
      <c r="J149" s="148" t="n">
        <v>1</v>
      </c>
      <c r="K149" s="149" t="n">
        <v>3876.4</v>
      </c>
      <c r="L149" s="149" t="n">
        <f aca="false">M149+N149</f>
        <v>0</v>
      </c>
      <c r="M149" s="149"/>
      <c r="N149" s="150"/>
      <c r="O149" s="151"/>
      <c r="P149" s="149"/>
      <c r="Q149" s="149" t="n">
        <f aca="false">R149+S149</f>
        <v>0</v>
      </c>
      <c r="R149" s="149"/>
      <c r="S149" s="150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customFormat="false" ht="15" hidden="false" customHeight="false" outlineLevel="0" collapsed="false">
      <c r="A150" s="17"/>
      <c r="B150" s="18"/>
      <c r="C150" s="18"/>
      <c r="D150" s="18"/>
      <c r="E150" s="127"/>
      <c r="F150" s="26" t="s">
        <v>202</v>
      </c>
      <c r="G150" s="152" t="s">
        <v>26</v>
      </c>
      <c r="H150" s="176" t="n">
        <v>1</v>
      </c>
      <c r="I150" s="154"/>
      <c r="J150" s="154"/>
      <c r="K150" s="155"/>
      <c r="L150" s="155" t="n">
        <f aca="false">M150+N150</f>
        <v>0</v>
      </c>
      <c r="M150" s="155"/>
      <c r="N150" s="156"/>
      <c r="O150" s="157"/>
      <c r="P150" s="155"/>
      <c r="Q150" s="155" t="n">
        <f aca="false">R150+S150</f>
        <v>0</v>
      </c>
      <c r="R150" s="155"/>
      <c r="S150" s="156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customFormat="false" ht="15" hidden="false" customHeight="true" outlineLevel="0" collapsed="false">
      <c r="A151" s="33"/>
      <c r="B151" s="34" t="s">
        <v>117</v>
      </c>
      <c r="C151" s="35" t="s">
        <v>33</v>
      </c>
      <c r="D151" s="35" t="s">
        <v>118</v>
      </c>
      <c r="E151" s="74" t="s">
        <v>25</v>
      </c>
      <c r="F151" s="89"/>
      <c r="G151" s="158" t="s">
        <v>22</v>
      </c>
      <c r="H151" s="169"/>
      <c r="I151" s="160"/>
      <c r="J151" s="160"/>
      <c r="K151" s="161"/>
      <c r="L151" s="161" t="n">
        <f aca="false">M151+N151</f>
        <v>0</v>
      </c>
      <c r="M151" s="161"/>
      <c r="N151" s="162"/>
      <c r="O151" s="163"/>
      <c r="P151" s="161"/>
      <c r="Q151" s="161" t="n">
        <f aca="false">R151+S151</f>
        <v>0</v>
      </c>
      <c r="R151" s="161"/>
      <c r="S151" s="16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customFormat="false" ht="15" hidden="false" customHeight="false" outlineLevel="0" collapsed="false">
      <c r="A152" s="33"/>
      <c r="B152" s="34"/>
      <c r="C152" s="34"/>
      <c r="D152" s="34"/>
      <c r="E152" s="34"/>
      <c r="F152" s="42"/>
      <c r="G152" s="158" t="s">
        <v>23</v>
      </c>
      <c r="H152" s="169"/>
      <c r="I152" s="160"/>
      <c r="J152" s="160"/>
      <c r="K152" s="161"/>
      <c r="L152" s="161" t="n">
        <f aca="false">M152+N152</f>
        <v>0</v>
      </c>
      <c r="M152" s="161"/>
      <c r="N152" s="162"/>
      <c r="O152" s="163"/>
      <c r="P152" s="161"/>
      <c r="Q152" s="161" t="n">
        <f aca="false">R152+S152</f>
        <v>0</v>
      </c>
      <c r="R152" s="161"/>
      <c r="S152" s="16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customFormat="false" ht="15" hidden="false" customHeight="false" outlineLevel="0" collapsed="false">
      <c r="A153" s="33"/>
      <c r="B153" s="34"/>
      <c r="C153" s="34"/>
      <c r="D153" s="34"/>
      <c r="E153" s="34"/>
      <c r="F153" s="42"/>
      <c r="G153" s="164" t="s">
        <v>26</v>
      </c>
      <c r="H153" s="153"/>
      <c r="I153" s="165"/>
      <c r="J153" s="165"/>
      <c r="K153" s="166"/>
      <c r="L153" s="166" t="n">
        <f aca="false">M153+N153</f>
        <v>0</v>
      </c>
      <c r="M153" s="166"/>
      <c r="N153" s="167"/>
      <c r="O153" s="168" t="n">
        <v>5</v>
      </c>
      <c r="P153" s="166" t="n">
        <v>4845.5</v>
      </c>
      <c r="Q153" s="166" t="n">
        <f aca="false">R153+S153</f>
        <v>0</v>
      </c>
      <c r="R153" s="166"/>
      <c r="S153" s="167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customFormat="false" ht="15" hidden="false" customHeight="true" outlineLevel="0" collapsed="false">
      <c r="A154" s="17"/>
      <c r="B154" s="18" t="s">
        <v>119</v>
      </c>
      <c r="C154" s="19" t="s">
        <v>20</v>
      </c>
      <c r="D154" s="19"/>
      <c r="E154" s="19" t="s">
        <v>25</v>
      </c>
      <c r="F154" s="20"/>
      <c r="G154" s="146" t="s">
        <v>22</v>
      </c>
      <c r="H154" s="169"/>
      <c r="I154" s="148"/>
      <c r="J154" s="148"/>
      <c r="K154" s="149"/>
      <c r="L154" s="149" t="n">
        <f aca="false">M154+N154</f>
        <v>0</v>
      </c>
      <c r="M154" s="149"/>
      <c r="N154" s="150"/>
      <c r="O154" s="151" t="n">
        <v>2</v>
      </c>
      <c r="P154" s="149"/>
      <c r="Q154" s="149" t="n">
        <f aca="false">R154+S154</f>
        <v>0</v>
      </c>
      <c r="R154" s="149"/>
      <c r="S154" s="150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customFormat="false" ht="15.75" hidden="false" customHeight="true" outlineLevel="0" collapsed="false">
      <c r="A155" s="17"/>
      <c r="B155" s="18"/>
      <c r="C155" s="18"/>
      <c r="D155" s="18"/>
      <c r="E155" s="18"/>
      <c r="F155" s="42" t="s">
        <v>203</v>
      </c>
      <c r="G155" s="164" t="s">
        <v>26</v>
      </c>
      <c r="H155" s="175" t="n">
        <v>2</v>
      </c>
      <c r="I155" s="165" t="n">
        <v>1</v>
      </c>
      <c r="J155" s="165" t="n">
        <v>1</v>
      </c>
      <c r="K155" s="166" t="n">
        <v>704.8</v>
      </c>
      <c r="L155" s="166" t="n">
        <f aca="false">M155+N155</f>
        <v>881</v>
      </c>
      <c r="M155" s="166" t="n">
        <v>881</v>
      </c>
      <c r="N155" s="167"/>
      <c r="O155" s="168" t="n">
        <v>1</v>
      </c>
      <c r="P155" s="166" t="n">
        <v>3524</v>
      </c>
      <c r="Q155" s="166" t="n">
        <f aca="false">R155+S155</f>
        <v>0</v>
      </c>
      <c r="R155" s="166"/>
      <c r="S155" s="167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customFormat="false" ht="15" hidden="false" customHeight="true" outlineLevel="0" collapsed="false">
      <c r="A156" s="17"/>
      <c r="B156" s="18" t="s">
        <v>225</v>
      </c>
      <c r="C156" s="19"/>
      <c r="D156" s="19"/>
      <c r="E156" s="19"/>
      <c r="F156" s="20"/>
      <c r="G156" s="146" t="s">
        <v>22</v>
      </c>
      <c r="H156" s="147"/>
      <c r="I156" s="148"/>
      <c r="J156" s="148"/>
      <c r="K156" s="149"/>
      <c r="L156" s="149" t="n">
        <f aca="false">M156+N156</f>
        <v>0</v>
      </c>
      <c r="M156" s="149"/>
      <c r="N156" s="150"/>
      <c r="O156" s="151"/>
      <c r="P156" s="149"/>
      <c r="Q156" s="149" t="n">
        <f aca="false">R156+S156</f>
        <v>0</v>
      </c>
      <c r="R156" s="149"/>
      <c r="S156" s="150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customFormat="false" ht="15" hidden="false" customHeight="false" outlineLevel="0" collapsed="false">
      <c r="A157" s="17"/>
      <c r="B157" s="18"/>
      <c r="C157" s="18"/>
      <c r="D157" s="18"/>
      <c r="E157" s="18"/>
      <c r="F157" s="57"/>
      <c r="G157" s="152" t="s">
        <v>23</v>
      </c>
      <c r="H157" s="176" t="n">
        <v>3</v>
      </c>
      <c r="I157" s="154"/>
      <c r="J157" s="154"/>
      <c r="K157" s="155"/>
      <c r="L157" s="155" t="n">
        <f aca="false">M157+N157</f>
        <v>0</v>
      </c>
      <c r="M157" s="155"/>
      <c r="N157" s="156"/>
      <c r="O157" s="157"/>
      <c r="P157" s="155"/>
      <c r="Q157" s="155" t="n">
        <f aca="false">R157+S157</f>
        <v>0</v>
      </c>
      <c r="R157" s="155"/>
      <c r="S157" s="156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customFormat="false" ht="15" hidden="false" customHeight="true" outlineLevel="0" collapsed="false">
      <c r="A158" s="54"/>
      <c r="B158" s="55" t="s">
        <v>120</v>
      </c>
      <c r="C158" s="56" t="s">
        <v>20</v>
      </c>
      <c r="D158" s="56"/>
      <c r="E158" s="56" t="s">
        <v>25</v>
      </c>
      <c r="F158" s="36"/>
      <c r="G158" s="158" t="s">
        <v>22</v>
      </c>
      <c r="H158" s="169"/>
      <c r="I158" s="160"/>
      <c r="J158" s="160"/>
      <c r="K158" s="161"/>
      <c r="L158" s="161" t="n">
        <f aca="false">M158+N158</f>
        <v>0</v>
      </c>
      <c r="M158" s="161"/>
      <c r="N158" s="162"/>
      <c r="O158" s="194"/>
      <c r="P158" s="161"/>
      <c r="Q158" s="161" t="n">
        <f aca="false">R158+S158</f>
        <v>3063.78</v>
      </c>
      <c r="R158" s="161"/>
      <c r="S158" s="162" t="n">
        <v>3063.78</v>
      </c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customFormat="false" ht="15.75" hidden="false" customHeight="true" outlineLevel="0" collapsed="false">
      <c r="A159" s="54"/>
      <c r="B159" s="55"/>
      <c r="C159" s="55"/>
      <c r="D159" s="55"/>
      <c r="E159" s="55"/>
      <c r="F159" s="71"/>
      <c r="G159" s="164" t="s">
        <v>26</v>
      </c>
      <c r="H159" s="175"/>
      <c r="I159" s="165"/>
      <c r="J159" s="165"/>
      <c r="K159" s="166"/>
      <c r="L159" s="166" t="n">
        <f aca="false">M159+N159</f>
        <v>0</v>
      </c>
      <c r="M159" s="166"/>
      <c r="N159" s="167"/>
      <c r="O159" s="168"/>
      <c r="P159" s="166"/>
      <c r="Q159" s="166" t="n">
        <f aca="false">R159+S159</f>
        <v>0</v>
      </c>
      <c r="R159" s="166"/>
      <c r="S159" s="167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customFormat="false" ht="15" hidden="false" customHeight="true" outlineLevel="0" collapsed="false">
      <c r="A160" s="72"/>
      <c r="B160" s="18" t="s">
        <v>158</v>
      </c>
      <c r="C160" s="74"/>
      <c r="D160" s="56" t="s">
        <v>204</v>
      </c>
      <c r="E160" s="74"/>
      <c r="F160" s="53"/>
      <c r="G160" s="146" t="s">
        <v>22</v>
      </c>
      <c r="H160" s="195"/>
      <c r="I160" s="196"/>
      <c r="J160" s="196"/>
      <c r="K160" s="197"/>
      <c r="L160" s="197" t="n">
        <f aca="false">M160+N160</f>
        <v>0</v>
      </c>
      <c r="M160" s="197"/>
      <c r="N160" s="198"/>
      <c r="O160" s="199"/>
      <c r="P160" s="197"/>
      <c r="Q160" s="197" t="n">
        <f aca="false">R160+S160</f>
        <v>0</v>
      </c>
      <c r="R160" s="197"/>
      <c r="S160" s="198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customFormat="false" ht="15" hidden="false" customHeight="false" outlineLevel="0" collapsed="false">
      <c r="A161" s="54"/>
      <c r="B161" s="18"/>
      <c r="C161" s="56"/>
      <c r="D161" s="56"/>
      <c r="E161" s="56"/>
      <c r="F161" s="138" t="s">
        <v>205</v>
      </c>
      <c r="G161" s="152" t="s">
        <v>26</v>
      </c>
      <c r="H161" s="153" t="n">
        <v>2</v>
      </c>
      <c r="I161" s="200"/>
      <c r="J161" s="200"/>
      <c r="K161" s="201"/>
      <c r="L161" s="201" t="n">
        <f aca="false">M161+N161</f>
        <v>0</v>
      </c>
      <c r="M161" s="201"/>
      <c r="N161" s="202"/>
      <c r="O161" s="203"/>
      <c r="P161" s="201"/>
      <c r="Q161" s="201" t="n">
        <f aca="false">R161+S161</f>
        <v>0</v>
      </c>
      <c r="R161" s="201"/>
      <c r="S161" s="20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customFormat="false" ht="15" hidden="false" customHeight="true" outlineLevel="0" collapsed="false">
      <c r="A162" s="33"/>
      <c r="B162" s="34" t="s">
        <v>152</v>
      </c>
      <c r="C162" s="35" t="s">
        <v>20</v>
      </c>
      <c r="D162" s="35"/>
      <c r="E162" s="35" t="s">
        <v>25</v>
      </c>
      <c r="F162" s="36"/>
      <c r="G162" s="158" t="s">
        <v>22</v>
      </c>
      <c r="H162" s="169"/>
      <c r="I162" s="160"/>
      <c r="J162" s="160"/>
      <c r="K162" s="161"/>
      <c r="L162" s="161" t="n">
        <f aca="false">M162+N162</f>
        <v>0</v>
      </c>
      <c r="M162" s="161"/>
      <c r="N162" s="162"/>
      <c r="O162" s="163" t="n">
        <v>1</v>
      </c>
      <c r="P162" s="161"/>
      <c r="Q162" s="161" t="n">
        <f aca="false">R162+S162</f>
        <v>0</v>
      </c>
      <c r="R162" s="161"/>
      <c r="S162" s="16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customFormat="false" ht="15.75" hidden="false" customHeight="true" outlineLevel="0" collapsed="false">
      <c r="A163" s="33"/>
      <c r="B163" s="34"/>
      <c r="C163" s="34"/>
      <c r="D163" s="34"/>
      <c r="E163" s="34"/>
      <c r="F163" s="42" t="s">
        <v>206</v>
      </c>
      <c r="G163" s="164" t="s">
        <v>26</v>
      </c>
      <c r="H163" s="171" t="n">
        <v>4</v>
      </c>
      <c r="I163" s="165"/>
      <c r="J163" s="165"/>
      <c r="K163" s="166"/>
      <c r="L163" s="166" t="n">
        <v>1145.3</v>
      </c>
      <c r="M163" s="166" t="n">
        <v>1145.3</v>
      </c>
      <c r="N163" s="167"/>
      <c r="O163" s="168" t="n">
        <v>3</v>
      </c>
      <c r="P163" s="166" t="n">
        <v>5814.6</v>
      </c>
      <c r="Q163" s="166" t="n">
        <f aca="false">R163+S163</f>
        <v>0</v>
      </c>
      <c r="R163" s="166"/>
      <c r="S163" s="167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customFormat="false" ht="15" hidden="false" customHeight="true" outlineLevel="0" collapsed="false">
      <c r="A164" s="17"/>
      <c r="B164" s="18" t="s">
        <v>122</v>
      </c>
      <c r="C164" s="19" t="s">
        <v>20</v>
      </c>
      <c r="D164" s="19"/>
      <c r="E164" s="19" t="s">
        <v>116</v>
      </c>
      <c r="F164" s="20"/>
      <c r="G164" s="146" t="s">
        <v>22</v>
      </c>
      <c r="H164" s="159" t="n">
        <v>14</v>
      </c>
      <c r="I164" s="148" t="n">
        <v>12</v>
      </c>
      <c r="J164" s="148" t="n">
        <v>12</v>
      </c>
      <c r="K164" s="149" t="n">
        <v>14488.06</v>
      </c>
      <c r="L164" s="149" t="n">
        <f aca="false">M164+N164</f>
        <v>3607.7</v>
      </c>
      <c r="M164" s="149" t="n">
        <v>3607.7</v>
      </c>
      <c r="N164" s="150"/>
      <c r="O164" s="151" t="n">
        <v>15</v>
      </c>
      <c r="P164" s="149"/>
      <c r="Q164" s="149" t="n">
        <f aca="false">R164+S164</f>
        <v>12768.32</v>
      </c>
      <c r="R164" s="149" t="n">
        <v>12768.32</v>
      </c>
      <c r="S164" s="150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customFormat="false" ht="15.75" hidden="false" customHeight="true" outlineLevel="0" collapsed="false">
      <c r="A165" s="17"/>
      <c r="B165" s="18"/>
      <c r="C165" s="18"/>
      <c r="D165" s="18"/>
      <c r="E165" s="18"/>
      <c r="F165" s="57"/>
      <c r="G165" s="152" t="s">
        <v>26</v>
      </c>
      <c r="H165" s="153"/>
      <c r="I165" s="154"/>
      <c r="J165" s="154"/>
      <c r="K165" s="155"/>
      <c r="L165" s="155" t="n">
        <f aca="false">M165+N165</f>
        <v>0</v>
      </c>
      <c r="M165" s="155"/>
      <c r="N165" s="156"/>
      <c r="O165" s="157"/>
      <c r="P165" s="155"/>
      <c r="Q165" s="155" t="n">
        <f aca="false">R165+S165</f>
        <v>0</v>
      </c>
      <c r="R165" s="155"/>
      <c r="S165" s="156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customFormat="false" ht="15.75" hidden="false" customHeight="true" outlineLevel="0" collapsed="false">
      <c r="A166" s="33"/>
      <c r="B166" s="34" t="s">
        <v>123</v>
      </c>
      <c r="C166" s="35" t="s">
        <v>20</v>
      </c>
      <c r="D166" s="35"/>
      <c r="E166" s="35" t="s">
        <v>25</v>
      </c>
      <c r="F166" s="36"/>
      <c r="G166" s="146" t="s">
        <v>22</v>
      </c>
      <c r="H166" s="159" t="n">
        <v>2</v>
      </c>
      <c r="I166" s="160" t="n">
        <v>2</v>
      </c>
      <c r="J166" s="160" t="n">
        <v>2</v>
      </c>
      <c r="K166" s="161" t="n">
        <v>881</v>
      </c>
      <c r="L166" s="161" t="n">
        <f aca="false">M166+N166</f>
        <v>881</v>
      </c>
      <c r="M166" s="161" t="n">
        <v>881</v>
      </c>
      <c r="N166" s="162"/>
      <c r="O166" s="163" t="n">
        <v>1</v>
      </c>
      <c r="P166" s="161"/>
      <c r="Q166" s="161" t="n">
        <f aca="false">R166+S166</f>
        <v>6930.62</v>
      </c>
      <c r="R166" s="161" t="n">
        <v>6930.62</v>
      </c>
      <c r="S166" s="16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customFormat="false" ht="15.75" hidden="false" customHeight="true" outlineLevel="0" collapsed="false">
      <c r="A167" s="33"/>
      <c r="B167" s="34"/>
      <c r="C167" s="34"/>
      <c r="D167" s="34"/>
      <c r="E167" s="34"/>
      <c r="F167" s="42" t="s">
        <v>207</v>
      </c>
      <c r="G167" s="164" t="s">
        <v>26</v>
      </c>
      <c r="H167" s="153" t="n">
        <v>1</v>
      </c>
      <c r="I167" s="165"/>
      <c r="J167" s="165"/>
      <c r="K167" s="166"/>
      <c r="L167" s="166" t="n">
        <v>881</v>
      </c>
      <c r="M167" s="166" t="n">
        <v>881</v>
      </c>
      <c r="N167" s="167"/>
      <c r="O167" s="168" t="n">
        <v>1</v>
      </c>
      <c r="P167" s="166"/>
      <c r="Q167" s="166" t="n">
        <f aca="false">R167+S167</f>
        <v>0</v>
      </c>
      <c r="R167" s="166"/>
      <c r="S167" s="167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customFormat="false" ht="15.75" hidden="false" customHeight="true" outlineLevel="0" collapsed="false">
      <c r="A168" s="17"/>
      <c r="B168" s="18" t="s">
        <v>124</v>
      </c>
      <c r="C168" s="19" t="s">
        <v>20</v>
      </c>
      <c r="D168" s="19"/>
      <c r="E168" s="19" t="s">
        <v>88</v>
      </c>
      <c r="F168" s="20"/>
      <c r="G168" s="146" t="s">
        <v>22</v>
      </c>
      <c r="H168" s="159" t="n">
        <v>6</v>
      </c>
      <c r="I168" s="148" t="n">
        <v>1</v>
      </c>
      <c r="J168" s="148" t="n">
        <v>1</v>
      </c>
      <c r="K168" s="149" t="n">
        <v>3286.13</v>
      </c>
      <c r="L168" s="149" t="n">
        <f aca="false">M168+N168</f>
        <v>0</v>
      </c>
      <c r="M168" s="149"/>
      <c r="N168" s="150"/>
      <c r="O168" s="151" t="n">
        <v>5</v>
      </c>
      <c r="P168" s="149"/>
      <c r="Q168" s="149" t="n">
        <f aca="false">R168+S168</f>
        <v>14475.42</v>
      </c>
      <c r="R168" s="149"/>
      <c r="S168" s="150" t="n">
        <v>14475.42</v>
      </c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customFormat="false" ht="15.75" hidden="false" customHeight="true" outlineLevel="0" collapsed="false">
      <c r="A169" s="17"/>
      <c r="B169" s="18"/>
      <c r="C169" s="18"/>
      <c r="D169" s="18"/>
      <c r="E169" s="18"/>
      <c r="F169" s="42"/>
      <c r="G169" s="164" t="s">
        <v>23</v>
      </c>
      <c r="H169" s="172" t="n">
        <v>6</v>
      </c>
      <c r="I169" s="165"/>
      <c r="J169" s="165"/>
      <c r="K169" s="166"/>
      <c r="L169" s="166" t="n">
        <v>0</v>
      </c>
      <c r="M169" s="166"/>
      <c r="N169" s="167"/>
      <c r="O169" s="168" t="n">
        <v>2</v>
      </c>
      <c r="P169" s="166" t="n">
        <v>3976.4</v>
      </c>
      <c r="Q169" s="166" t="n">
        <v>3976.4</v>
      </c>
      <c r="R169" s="166" t="n">
        <v>3976.4</v>
      </c>
      <c r="S169" s="167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customFormat="false" ht="15.75" hidden="false" customHeight="true" outlineLevel="0" collapsed="false">
      <c r="A170" s="17"/>
      <c r="B170" s="18" t="s">
        <v>208</v>
      </c>
      <c r="C170" s="19"/>
      <c r="D170" s="19"/>
      <c r="E170" s="127"/>
      <c r="F170" s="20"/>
      <c r="G170" s="146" t="s">
        <v>22</v>
      </c>
      <c r="H170" s="173" t="n">
        <v>4</v>
      </c>
      <c r="I170" s="148"/>
      <c r="J170" s="148"/>
      <c r="K170" s="149"/>
      <c r="L170" s="149" t="n">
        <f aca="false">M170+N170</f>
        <v>0</v>
      </c>
      <c r="M170" s="149"/>
      <c r="N170" s="150"/>
      <c r="O170" s="151"/>
      <c r="P170" s="149"/>
      <c r="Q170" s="149" t="n">
        <f aca="false">R170+S170</f>
        <v>0</v>
      </c>
      <c r="R170" s="149"/>
      <c r="S170" s="150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customFormat="false" ht="15.75" hidden="false" customHeight="true" outlineLevel="0" collapsed="false">
      <c r="A171" s="17"/>
      <c r="B171" s="18"/>
      <c r="C171" s="18"/>
      <c r="D171" s="18"/>
      <c r="E171" s="128"/>
      <c r="F171" s="57"/>
      <c r="G171" s="152" t="s">
        <v>23</v>
      </c>
      <c r="H171" s="174" t="n">
        <v>3</v>
      </c>
      <c r="I171" s="154"/>
      <c r="J171" s="154"/>
      <c r="K171" s="155"/>
      <c r="L171" s="155" t="n">
        <f aca="false">M171+N171</f>
        <v>0</v>
      </c>
      <c r="M171" s="155"/>
      <c r="N171" s="156"/>
      <c r="O171" s="157"/>
      <c r="P171" s="155"/>
      <c r="Q171" s="155" t="n">
        <f aca="false">R171+S171</f>
        <v>0</v>
      </c>
      <c r="R171" s="155"/>
      <c r="S171" s="156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customFormat="false" ht="15.75" hidden="false" customHeight="true" outlineLevel="0" collapsed="false">
      <c r="A172" s="33"/>
      <c r="B172" s="34" t="s">
        <v>125</v>
      </c>
      <c r="C172" s="35" t="s">
        <v>33</v>
      </c>
      <c r="D172" s="35" t="s">
        <v>126</v>
      </c>
      <c r="E172" s="35" t="s">
        <v>127</v>
      </c>
      <c r="F172" s="36"/>
      <c r="G172" s="158" t="s">
        <v>22</v>
      </c>
      <c r="H172" s="159" t="n">
        <v>6</v>
      </c>
      <c r="I172" s="160" t="n">
        <v>3</v>
      </c>
      <c r="J172" s="160" t="n">
        <v>3</v>
      </c>
      <c r="K172" s="161" t="n">
        <v>4665.42</v>
      </c>
      <c r="L172" s="161" t="n">
        <f aca="false">M172+N172</f>
        <v>0</v>
      </c>
      <c r="M172" s="161"/>
      <c r="N172" s="162"/>
      <c r="O172" s="163" t="n">
        <v>7</v>
      </c>
      <c r="P172" s="161"/>
      <c r="Q172" s="161" t="n">
        <f aca="false">R172+S172</f>
        <v>11500.86</v>
      </c>
      <c r="R172" s="161" t="n">
        <v>11500.86</v>
      </c>
      <c r="S172" s="16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customFormat="false" ht="15.75" hidden="false" customHeight="true" outlineLevel="0" collapsed="false">
      <c r="A173" s="33"/>
      <c r="B173" s="34"/>
      <c r="C173" s="34"/>
      <c r="D173" s="34"/>
      <c r="E173" s="34"/>
      <c r="F173" s="42"/>
      <c r="G173" s="164" t="s">
        <v>23</v>
      </c>
      <c r="H173" s="171" t="n">
        <v>23</v>
      </c>
      <c r="I173" s="165" t="n">
        <v>2</v>
      </c>
      <c r="J173" s="165" t="n">
        <v>2</v>
      </c>
      <c r="K173" s="166" t="n">
        <v>2995.4</v>
      </c>
      <c r="L173" s="166" t="n">
        <f aca="false">M173+N173</f>
        <v>0</v>
      </c>
      <c r="M173" s="166"/>
      <c r="N173" s="167"/>
      <c r="O173" s="168" t="n">
        <v>8</v>
      </c>
      <c r="P173" s="166" t="n">
        <v>26292.84</v>
      </c>
      <c r="Q173" s="166" t="n">
        <v>1409.6</v>
      </c>
      <c r="R173" s="166" t="n">
        <v>1409.6</v>
      </c>
      <c r="S173" s="167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customFormat="false" ht="15" hidden="false" customHeight="true" outlineLevel="0" collapsed="false">
      <c r="A174" s="17"/>
      <c r="B174" s="18" t="s">
        <v>128</v>
      </c>
      <c r="C174" s="19" t="s">
        <v>20</v>
      </c>
      <c r="D174" s="19"/>
      <c r="E174" s="19" t="s">
        <v>25</v>
      </c>
      <c r="F174" s="20"/>
      <c r="G174" s="146" t="s">
        <v>22</v>
      </c>
      <c r="H174" s="159" t="n">
        <v>14</v>
      </c>
      <c r="I174" s="148" t="n">
        <v>7</v>
      </c>
      <c r="J174" s="148" t="n">
        <v>7</v>
      </c>
      <c r="K174" s="149" t="n">
        <v>5466.2</v>
      </c>
      <c r="L174" s="149" t="n">
        <f aca="false">M174+N174</f>
        <v>1708.7</v>
      </c>
      <c r="M174" s="149" t="n">
        <v>1708.7</v>
      </c>
      <c r="N174" s="150"/>
      <c r="O174" s="151" t="n">
        <v>12</v>
      </c>
      <c r="P174" s="149"/>
      <c r="Q174" s="149" t="n">
        <f aca="false">R174+S174</f>
        <v>5312.27</v>
      </c>
      <c r="R174" s="149" t="n">
        <v>5312.27</v>
      </c>
      <c r="S174" s="150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customFormat="false" ht="15.75" hidden="false" customHeight="true" outlineLevel="0" collapsed="false">
      <c r="A175" s="17"/>
      <c r="B175" s="18"/>
      <c r="C175" s="18"/>
      <c r="D175" s="18"/>
      <c r="E175" s="18"/>
      <c r="F175" s="71"/>
      <c r="G175" s="164" t="s">
        <v>26</v>
      </c>
      <c r="H175" s="175"/>
      <c r="I175" s="165"/>
      <c r="J175" s="165"/>
      <c r="K175" s="166"/>
      <c r="L175" s="166" t="n">
        <f aca="false">M175+N175</f>
        <v>0</v>
      </c>
      <c r="M175" s="166"/>
      <c r="N175" s="167"/>
      <c r="O175" s="168"/>
      <c r="P175" s="166"/>
      <c r="Q175" s="166" t="n">
        <f aca="false">R175+S175</f>
        <v>0</v>
      </c>
      <c r="R175" s="166"/>
      <c r="S175" s="167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customFormat="false" ht="15.75" hidden="false" customHeight="true" outlineLevel="0" collapsed="false">
      <c r="A176" s="17"/>
      <c r="B176" s="18" t="s">
        <v>227</v>
      </c>
      <c r="C176" s="19"/>
      <c r="D176" s="19"/>
      <c r="E176" s="19"/>
      <c r="F176" s="20"/>
      <c r="G176" s="204" t="s">
        <v>22</v>
      </c>
      <c r="H176" s="205" t="n">
        <v>1</v>
      </c>
      <c r="I176" s="148"/>
      <c r="J176" s="148"/>
      <c r="K176" s="149"/>
      <c r="L176" s="149" t="n">
        <f aca="false">M176+N176</f>
        <v>0</v>
      </c>
      <c r="M176" s="149"/>
      <c r="N176" s="150"/>
      <c r="O176" s="206"/>
      <c r="P176" s="149"/>
      <c r="Q176" s="149" t="n">
        <f aca="false">R176+S176</f>
        <v>0</v>
      </c>
      <c r="R176" s="149"/>
      <c r="S176" s="150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customFormat="false" ht="15.75" hidden="false" customHeight="true" outlineLevel="0" collapsed="false">
      <c r="A177" s="17"/>
      <c r="B177" s="18"/>
      <c r="C177" s="18"/>
      <c r="D177" s="18"/>
      <c r="E177" s="18"/>
      <c r="F177" s="57"/>
      <c r="G177" s="207" t="s">
        <v>26</v>
      </c>
      <c r="H177" s="208"/>
      <c r="I177" s="154"/>
      <c r="J177" s="154"/>
      <c r="K177" s="155"/>
      <c r="L177" s="155" t="n">
        <f aca="false">M177+N177</f>
        <v>0</v>
      </c>
      <c r="M177" s="155"/>
      <c r="N177" s="156"/>
      <c r="O177" s="209"/>
      <c r="P177" s="155"/>
      <c r="Q177" s="155" t="n">
        <f aca="false">R177+S177</f>
        <v>0</v>
      </c>
      <c r="R177" s="155"/>
      <c r="S177" s="156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customFormat="false" ht="15.75" hidden="false" customHeight="true" outlineLevel="0" collapsed="false">
      <c r="A178" s="33"/>
      <c r="B178" s="34" t="s">
        <v>129</v>
      </c>
      <c r="C178" s="35" t="s">
        <v>38</v>
      </c>
      <c r="D178" s="35" t="s">
        <v>130</v>
      </c>
      <c r="E178" s="35" t="s">
        <v>25</v>
      </c>
      <c r="F178" s="36"/>
      <c r="G178" s="158" t="s">
        <v>22</v>
      </c>
      <c r="H178" s="159" t="n">
        <v>6</v>
      </c>
      <c r="I178" s="160" t="n">
        <v>5</v>
      </c>
      <c r="J178" s="160" t="n">
        <v>5</v>
      </c>
      <c r="K178" s="161" t="n">
        <v>3147.73</v>
      </c>
      <c r="L178" s="161" t="n">
        <f aca="false">M178+N178</f>
        <v>0</v>
      </c>
      <c r="M178" s="161"/>
      <c r="N178" s="162"/>
      <c r="O178" s="163" t="n">
        <v>1</v>
      </c>
      <c r="P178" s="161"/>
      <c r="Q178" s="161" t="n">
        <f aca="false">R178+S178</f>
        <v>0</v>
      </c>
      <c r="R178" s="161"/>
      <c r="S178" s="16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customFormat="false" ht="15.75" hidden="false" customHeight="true" outlineLevel="0" collapsed="false">
      <c r="A179" s="33"/>
      <c r="B179" s="34"/>
      <c r="C179" s="34"/>
      <c r="D179" s="34"/>
      <c r="E179" s="34"/>
      <c r="F179" s="42" t="s">
        <v>209</v>
      </c>
      <c r="G179" s="164" t="s">
        <v>26</v>
      </c>
      <c r="H179" s="153"/>
      <c r="I179" s="165"/>
      <c r="J179" s="165"/>
      <c r="K179" s="166"/>
      <c r="L179" s="166" t="n">
        <v>1762</v>
      </c>
      <c r="M179" s="166" t="n">
        <v>1762</v>
      </c>
      <c r="N179" s="167"/>
      <c r="O179" s="168" t="n">
        <v>7</v>
      </c>
      <c r="P179" s="166" t="n">
        <v>20590.6</v>
      </c>
      <c r="Q179" s="166" t="n">
        <f aca="false">R179+S179</f>
        <v>0</v>
      </c>
      <c r="R179" s="166"/>
      <c r="S179" s="167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customFormat="false" ht="16.5" hidden="false" customHeight="true" outlineLevel="0" collapsed="false">
      <c r="A180" s="17"/>
      <c r="B180" s="18" t="s">
        <v>131</v>
      </c>
      <c r="C180" s="19" t="s">
        <v>38</v>
      </c>
      <c r="D180" s="19" t="s">
        <v>130</v>
      </c>
      <c r="E180" s="19" t="s">
        <v>25</v>
      </c>
      <c r="F180" s="20"/>
      <c r="G180" s="146" t="s">
        <v>22</v>
      </c>
      <c r="H180" s="159" t="n">
        <v>7</v>
      </c>
      <c r="I180" s="148" t="n">
        <v>6</v>
      </c>
      <c r="J180" s="148" t="n">
        <v>8</v>
      </c>
      <c r="K180" s="149" t="n">
        <v>17098</v>
      </c>
      <c r="L180" s="149" t="n">
        <f aca="false">M180+N180</f>
        <v>5349.43</v>
      </c>
      <c r="M180" s="149" t="n">
        <v>5349.43</v>
      </c>
      <c r="N180" s="150"/>
      <c r="O180" s="151" t="n">
        <v>4</v>
      </c>
      <c r="P180" s="149"/>
      <c r="Q180" s="149" t="n">
        <f aca="false">R180+S180</f>
        <v>1920.58</v>
      </c>
      <c r="R180" s="149" t="n">
        <v>1920.58</v>
      </c>
      <c r="S180" s="150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customFormat="false" ht="16.5" hidden="false" customHeight="true" outlineLevel="0" collapsed="false">
      <c r="A181" s="17"/>
      <c r="B181" s="18"/>
      <c r="C181" s="18"/>
      <c r="D181" s="18"/>
      <c r="E181" s="18"/>
      <c r="F181" s="26" t="s">
        <v>210</v>
      </c>
      <c r="G181" s="152" t="s">
        <v>26</v>
      </c>
      <c r="H181" s="153" t="n">
        <v>2</v>
      </c>
      <c r="I181" s="154" t="n">
        <v>2</v>
      </c>
      <c r="J181" s="154" t="n">
        <v>2</v>
      </c>
      <c r="K181" s="155" t="n">
        <v>1585.8</v>
      </c>
      <c r="L181" s="155" t="n">
        <f aca="false">M181+N181</f>
        <v>0</v>
      </c>
      <c r="M181" s="155"/>
      <c r="N181" s="156"/>
      <c r="O181" s="157"/>
      <c r="P181" s="155"/>
      <c r="Q181" s="155" t="n">
        <f aca="false">R181+S181</f>
        <v>0</v>
      </c>
      <c r="R181" s="155"/>
      <c r="S181" s="210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customFormat="false" ht="16.5" hidden="false" customHeight="true" outlineLevel="0" collapsed="false">
      <c r="A182" s="33"/>
      <c r="B182" s="34" t="s">
        <v>132</v>
      </c>
      <c r="C182" s="35" t="s">
        <v>20</v>
      </c>
      <c r="D182" s="35"/>
      <c r="E182" s="35" t="s">
        <v>69</v>
      </c>
      <c r="F182" s="38"/>
      <c r="G182" s="146" t="s">
        <v>22</v>
      </c>
      <c r="H182" s="159" t="n">
        <v>5</v>
      </c>
      <c r="I182" s="160" t="n">
        <v>2</v>
      </c>
      <c r="J182" s="160" t="n">
        <v>2</v>
      </c>
      <c r="K182" s="161" t="n">
        <v>1973.48</v>
      </c>
      <c r="L182" s="161" t="n">
        <f aca="false">M182+N182</f>
        <v>1973.48</v>
      </c>
      <c r="M182" s="161"/>
      <c r="N182" s="162" t="n">
        <v>1973.48</v>
      </c>
      <c r="O182" s="163" t="n">
        <v>2</v>
      </c>
      <c r="P182" s="161"/>
      <c r="Q182" s="161" t="n">
        <f aca="false">R182+S182</f>
        <v>28827.93</v>
      </c>
      <c r="R182" s="161"/>
      <c r="S182" s="162" t="n">
        <v>28827.93</v>
      </c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customFormat="false" ht="16.5" hidden="false" customHeight="true" outlineLevel="0" collapsed="false">
      <c r="A183" s="33"/>
      <c r="B183" s="34"/>
      <c r="C183" s="34"/>
      <c r="D183" s="34"/>
      <c r="E183" s="34"/>
      <c r="F183" s="42" t="s">
        <v>211</v>
      </c>
      <c r="G183" s="164" t="s">
        <v>26</v>
      </c>
      <c r="H183" s="153" t="n">
        <v>5</v>
      </c>
      <c r="I183" s="165"/>
      <c r="J183" s="165"/>
      <c r="K183" s="166"/>
      <c r="L183" s="166" t="n">
        <f aca="false">M183+N183</f>
        <v>0</v>
      </c>
      <c r="M183" s="166"/>
      <c r="N183" s="167"/>
      <c r="O183" s="168"/>
      <c r="P183" s="166"/>
      <c r="Q183" s="166" t="n">
        <f aca="false">R183+S183</f>
        <v>0</v>
      </c>
      <c r="R183" s="166"/>
      <c r="S183" s="167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customFormat="false" ht="16.5" hidden="false" customHeight="true" outlineLevel="0" collapsed="false">
      <c r="A184" s="72"/>
      <c r="B184" s="73" t="s">
        <v>133</v>
      </c>
      <c r="C184" s="74" t="s">
        <v>20</v>
      </c>
      <c r="D184" s="74"/>
      <c r="E184" s="74" t="s">
        <v>25</v>
      </c>
      <c r="F184" s="22"/>
      <c r="G184" s="146" t="s">
        <v>22</v>
      </c>
      <c r="H184" s="159" t="n">
        <v>1</v>
      </c>
      <c r="I184" s="148"/>
      <c r="J184" s="148"/>
      <c r="K184" s="149"/>
      <c r="L184" s="149" t="n">
        <f aca="false">M184+N184</f>
        <v>0</v>
      </c>
      <c r="M184" s="149"/>
      <c r="N184" s="150"/>
      <c r="O184" s="151" t="n">
        <v>1</v>
      </c>
      <c r="P184" s="149"/>
      <c r="Q184" s="149" t="n">
        <f aca="false">R184+S184</f>
        <v>2163.03</v>
      </c>
      <c r="R184" s="149"/>
      <c r="S184" s="150" t="n">
        <v>2163.03</v>
      </c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customFormat="false" ht="16.5" hidden="false" customHeight="true" outlineLevel="0" collapsed="false">
      <c r="A185" s="72"/>
      <c r="B185" s="73"/>
      <c r="C185" s="73"/>
      <c r="D185" s="73"/>
      <c r="E185" s="73"/>
      <c r="F185" s="42" t="s">
        <v>212</v>
      </c>
      <c r="G185" s="164" t="s">
        <v>26</v>
      </c>
      <c r="H185" s="171" t="n">
        <v>4</v>
      </c>
      <c r="I185" s="165" t="n">
        <v>1</v>
      </c>
      <c r="J185" s="165" t="n">
        <v>1</v>
      </c>
      <c r="K185" s="166" t="n">
        <v>1409.6</v>
      </c>
      <c r="L185" s="166" t="n">
        <f aca="false">M185+N185</f>
        <v>0</v>
      </c>
      <c r="M185" s="166"/>
      <c r="N185" s="167"/>
      <c r="O185" s="168"/>
      <c r="P185" s="166"/>
      <c r="Q185" s="166" t="n">
        <f aca="false">R185+S185</f>
        <v>0</v>
      </c>
      <c r="R185" s="166"/>
      <c r="S185" s="167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customFormat="false" ht="16.5" hidden="false" customHeight="true" outlineLevel="0" collapsed="false">
      <c r="A186" s="72"/>
      <c r="B186" s="73" t="s">
        <v>134</v>
      </c>
      <c r="C186" s="74" t="s">
        <v>20</v>
      </c>
      <c r="D186" s="74"/>
      <c r="E186" s="74" t="s">
        <v>25</v>
      </c>
      <c r="F186" s="20"/>
      <c r="G186" s="146" t="s">
        <v>22</v>
      </c>
      <c r="H186" s="169"/>
      <c r="I186" s="148"/>
      <c r="J186" s="148"/>
      <c r="K186" s="149"/>
      <c r="L186" s="149" t="n">
        <f aca="false">M186+N186</f>
        <v>0</v>
      </c>
      <c r="M186" s="149"/>
      <c r="N186" s="150"/>
      <c r="O186" s="151"/>
      <c r="P186" s="149"/>
      <c r="Q186" s="149" t="n">
        <f aca="false">R186+S186</f>
        <v>0</v>
      </c>
      <c r="R186" s="149"/>
      <c r="S186" s="150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customFormat="false" ht="15.75" hidden="false" customHeight="true" outlineLevel="0" collapsed="false">
      <c r="A187" s="72"/>
      <c r="B187" s="73"/>
      <c r="C187" s="73"/>
      <c r="D187" s="73"/>
      <c r="E187" s="73"/>
      <c r="F187" s="42" t="s">
        <v>213</v>
      </c>
      <c r="G187" s="164" t="s">
        <v>26</v>
      </c>
      <c r="H187" s="153" t="n">
        <v>1</v>
      </c>
      <c r="I187" s="165"/>
      <c r="J187" s="165"/>
      <c r="K187" s="166"/>
      <c r="L187" s="166" t="n">
        <f aca="false">M187+N187</f>
        <v>0</v>
      </c>
      <c r="M187" s="166"/>
      <c r="N187" s="167"/>
      <c r="O187" s="168" t="n">
        <v>2</v>
      </c>
      <c r="P187" s="166" t="n">
        <v>12034.75</v>
      </c>
      <c r="Q187" s="166" t="n">
        <f aca="false">R187+S187</f>
        <v>0</v>
      </c>
      <c r="R187" s="166"/>
      <c r="S187" s="167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customFormat="false" ht="15" hidden="false" customHeight="true" outlineLevel="0" collapsed="false">
      <c r="A188" s="17"/>
      <c r="B188" s="18" t="s">
        <v>135</v>
      </c>
      <c r="C188" s="19" t="s">
        <v>20</v>
      </c>
      <c r="D188" s="19"/>
      <c r="E188" s="19" t="s">
        <v>69</v>
      </c>
      <c r="F188" s="22"/>
      <c r="G188" s="146" t="s">
        <v>22</v>
      </c>
      <c r="H188" s="159" t="n">
        <v>6</v>
      </c>
      <c r="I188" s="148" t="n">
        <v>2</v>
      </c>
      <c r="J188" s="148" t="n">
        <v>2</v>
      </c>
      <c r="K188" s="149" t="n">
        <v>2995.4</v>
      </c>
      <c r="L188" s="149" t="n">
        <f aca="false">M188+N188</f>
        <v>2995.4</v>
      </c>
      <c r="M188" s="149"/>
      <c r="N188" s="150" t="n">
        <v>2995.4</v>
      </c>
      <c r="O188" s="151" t="n">
        <v>3</v>
      </c>
      <c r="P188" s="149"/>
      <c r="Q188" s="149" t="n">
        <f aca="false">R188+S188</f>
        <v>14331.8</v>
      </c>
      <c r="R188" s="149"/>
      <c r="S188" s="150" t="n">
        <v>14331.8</v>
      </c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customFormat="false" ht="15.75" hidden="false" customHeight="true" outlineLevel="0" collapsed="false">
      <c r="A189" s="17"/>
      <c r="B189" s="18"/>
      <c r="C189" s="18"/>
      <c r="D189" s="18"/>
      <c r="E189" s="18"/>
      <c r="F189" s="26"/>
      <c r="G189" s="152" t="s">
        <v>26</v>
      </c>
      <c r="H189" s="171" t="n">
        <v>1</v>
      </c>
      <c r="I189" s="154"/>
      <c r="J189" s="154"/>
      <c r="K189" s="155"/>
      <c r="L189" s="155" t="n">
        <f aca="false">M189+N189</f>
        <v>0</v>
      </c>
      <c r="M189" s="155"/>
      <c r="N189" s="156"/>
      <c r="O189" s="157" t="n">
        <v>1</v>
      </c>
      <c r="P189" s="155" t="n">
        <v>792.9</v>
      </c>
      <c r="Q189" s="155" t="n">
        <f aca="false">R189+S189</f>
        <v>0</v>
      </c>
      <c r="R189" s="155"/>
      <c r="S189" s="156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customFormat="false" ht="15.75" hidden="false" customHeight="true" outlineLevel="0" collapsed="false">
      <c r="A190" s="33"/>
      <c r="B190" s="34" t="s">
        <v>136</v>
      </c>
      <c r="C190" s="35" t="s">
        <v>20</v>
      </c>
      <c r="D190" s="35"/>
      <c r="E190" s="35" t="s">
        <v>98</v>
      </c>
      <c r="F190" s="36"/>
      <c r="G190" s="146" t="s">
        <v>22</v>
      </c>
      <c r="H190" s="159" t="n">
        <v>10</v>
      </c>
      <c r="I190" s="160" t="n">
        <v>8</v>
      </c>
      <c r="J190" s="160" t="n">
        <v>9</v>
      </c>
      <c r="K190" s="161" t="n">
        <v>9028.51</v>
      </c>
      <c r="L190" s="161" t="n">
        <f aca="false">M190+N190</f>
        <v>0</v>
      </c>
      <c r="M190" s="161"/>
      <c r="N190" s="162"/>
      <c r="O190" s="163" t="n">
        <v>7</v>
      </c>
      <c r="P190" s="161"/>
      <c r="Q190" s="161" t="n">
        <f aca="false">R190+S190</f>
        <v>0</v>
      </c>
      <c r="R190" s="161"/>
      <c r="S190" s="16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customFormat="false" ht="15.75" hidden="false" customHeight="true" outlineLevel="0" collapsed="false">
      <c r="A191" s="33"/>
      <c r="B191" s="34"/>
      <c r="C191" s="34"/>
      <c r="D191" s="34"/>
      <c r="E191" s="34"/>
      <c r="F191" s="42"/>
      <c r="G191" s="164" t="s">
        <v>23</v>
      </c>
      <c r="H191" s="171" t="n">
        <v>5</v>
      </c>
      <c r="I191" s="165"/>
      <c r="J191" s="165"/>
      <c r="K191" s="166"/>
      <c r="L191" s="166" t="n">
        <f aca="false">M191+N191</f>
        <v>0</v>
      </c>
      <c r="M191" s="166"/>
      <c r="N191" s="167"/>
      <c r="O191" s="168" t="n">
        <v>3</v>
      </c>
      <c r="P191" s="166" t="n">
        <v>1585.8</v>
      </c>
      <c r="Q191" s="166" t="n">
        <f aca="false">R191+S191</f>
        <v>0</v>
      </c>
      <c r="R191" s="166"/>
      <c r="S191" s="167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customFormat="false" ht="15.75" hidden="false" customHeight="true" outlineLevel="0" collapsed="false">
      <c r="A192" s="17"/>
      <c r="B192" s="18" t="s">
        <v>137</v>
      </c>
      <c r="C192" s="19" t="s">
        <v>20</v>
      </c>
      <c r="D192" s="19"/>
      <c r="E192" s="19" t="s">
        <v>25</v>
      </c>
      <c r="F192" s="20"/>
      <c r="G192" s="146" t="s">
        <v>22</v>
      </c>
      <c r="H192" s="169"/>
      <c r="I192" s="148"/>
      <c r="J192" s="148"/>
      <c r="K192" s="149"/>
      <c r="L192" s="149" t="n">
        <f aca="false">M192+N192</f>
        <v>0</v>
      </c>
      <c r="M192" s="149"/>
      <c r="N192" s="150"/>
      <c r="O192" s="151"/>
      <c r="P192" s="149"/>
      <c r="Q192" s="149" t="n">
        <f aca="false">R192+S192</f>
        <v>0</v>
      </c>
      <c r="R192" s="149"/>
      <c r="S192" s="150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customFormat="false" ht="20.25" hidden="false" customHeight="true" outlineLevel="0" collapsed="false">
      <c r="A193" s="17"/>
      <c r="B193" s="18"/>
      <c r="C193" s="18"/>
      <c r="D193" s="18"/>
      <c r="E193" s="18"/>
      <c r="F193" s="26"/>
      <c r="G193" s="152" t="s">
        <v>26</v>
      </c>
      <c r="H193" s="153" t="n">
        <v>4</v>
      </c>
      <c r="I193" s="154"/>
      <c r="J193" s="154"/>
      <c r="K193" s="155"/>
      <c r="L193" s="155" t="n">
        <f aca="false">M193+N193</f>
        <v>0</v>
      </c>
      <c r="M193" s="155"/>
      <c r="N193" s="156"/>
      <c r="O193" s="157"/>
      <c r="P193" s="155"/>
      <c r="Q193" s="155" t="n">
        <f aca="false">R193+S193</f>
        <v>0</v>
      </c>
      <c r="R193" s="155"/>
      <c r="S193" s="156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customFormat="false" ht="15.75" hidden="false" customHeight="true" outlineLevel="0" collapsed="false">
      <c r="A194" s="54"/>
      <c r="B194" s="55" t="s">
        <v>138</v>
      </c>
      <c r="C194" s="56" t="s">
        <v>33</v>
      </c>
      <c r="D194" s="56" t="s">
        <v>139</v>
      </c>
      <c r="E194" s="56" t="s">
        <v>25</v>
      </c>
      <c r="F194" s="36"/>
      <c r="G194" s="146" t="s">
        <v>22</v>
      </c>
      <c r="H194" s="169"/>
      <c r="I194" s="160"/>
      <c r="J194" s="160"/>
      <c r="K194" s="161"/>
      <c r="L194" s="161" t="n">
        <f aca="false">M194+N194</f>
        <v>0</v>
      </c>
      <c r="M194" s="161"/>
      <c r="N194" s="162"/>
      <c r="O194" s="163"/>
      <c r="P194" s="161"/>
      <c r="Q194" s="161" t="n">
        <f aca="false">R194+S194</f>
        <v>0</v>
      </c>
      <c r="R194" s="161"/>
      <c r="S194" s="16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customFormat="false" ht="15.75" hidden="false" customHeight="true" outlineLevel="0" collapsed="false">
      <c r="A195" s="54"/>
      <c r="B195" s="55"/>
      <c r="C195" s="55"/>
      <c r="D195" s="55"/>
      <c r="E195" s="55"/>
      <c r="F195" s="26" t="s">
        <v>214</v>
      </c>
      <c r="G195" s="152" t="s">
        <v>26</v>
      </c>
      <c r="H195" s="171" t="n">
        <v>4</v>
      </c>
      <c r="I195" s="154" t="n">
        <v>1</v>
      </c>
      <c r="J195" s="154" t="n">
        <v>1</v>
      </c>
      <c r="K195" s="155" t="n">
        <v>2466.8</v>
      </c>
      <c r="L195" s="155" t="n">
        <f aca="false">M195+N195</f>
        <v>0</v>
      </c>
      <c r="M195" s="155"/>
      <c r="N195" s="156"/>
      <c r="O195" s="157"/>
      <c r="P195" s="155"/>
      <c r="Q195" s="155" t="n">
        <f aca="false">R195+S195</f>
        <v>0</v>
      </c>
      <c r="R195" s="155"/>
      <c r="S195" s="156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customFormat="false" ht="15" hidden="false" customHeight="true" outlineLevel="0" collapsed="false">
      <c r="A196" s="33"/>
      <c r="B196" s="34" t="s">
        <v>140</v>
      </c>
      <c r="C196" s="35" t="s">
        <v>20</v>
      </c>
      <c r="D196" s="35"/>
      <c r="E196" s="35" t="s">
        <v>141</v>
      </c>
      <c r="F196" s="36"/>
      <c r="G196" s="146" t="s">
        <v>22</v>
      </c>
      <c r="H196" s="159" t="n">
        <v>2</v>
      </c>
      <c r="I196" s="160" t="n">
        <v>1</v>
      </c>
      <c r="J196" s="160" t="n">
        <v>1</v>
      </c>
      <c r="K196" s="161" t="n">
        <v>1046.63</v>
      </c>
      <c r="L196" s="161" t="n">
        <f aca="false">M196+N196</f>
        <v>0</v>
      </c>
      <c r="M196" s="161"/>
      <c r="N196" s="162"/>
      <c r="O196" s="163" t="n">
        <v>4</v>
      </c>
      <c r="P196" s="161"/>
      <c r="Q196" s="161" t="n">
        <f aca="false">R196+S196</f>
        <v>0</v>
      </c>
      <c r="R196" s="161"/>
      <c r="S196" s="16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customFormat="false" ht="15.75" hidden="false" customHeight="true" outlineLevel="0" collapsed="false">
      <c r="A197" s="33"/>
      <c r="B197" s="34"/>
      <c r="C197" s="34"/>
      <c r="D197" s="34"/>
      <c r="E197" s="34"/>
      <c r="F197" s="42" t="s">
        <v>215</v>
      </c>
      <c r="G197" s="164" t="s">
        <v>26</v>
      </c>
      <c r="H197" s="153"/>
      <c r="I197" s="165"/>
      <c r="J197" s="165"/>
      <c r="K197" s="166"/>
      <c r="L197" s="166" t="n">
        <f aca="false">M197+N197</f>
        <v>0</v>
      </c>
      <c r="M197" s="166"/>
      <c r="N197" s="167"/>
      <c r="O197" s="168"/>
      <c r="P197" s="166"/>
      <c r="Q197" s="166" t="n">
        <f aca="false">R197+S197</f>
        <v>0</v>
      </c>
      <c r="R197" s="166"/>
      <c r="S197" s="167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customFormat="false" ht="15.75" hidden="false" customHeight="true" outlineLevel="0" collapsed="false">
      <c r="A198" s="17"/>
      <c r="B198" s="18" t="s">
        <v>142</v>
      </c>
      <c r="C198" s="19" t="s">
        <v>20</v>
      </c>
      <c r="D198" s="19"/>
      <c r="E198" s="19" t="s">
        <v>25</v>
      </c>
      <c r="F198" s="20"/>
      <c r="G198" s="146" t="s">
        <v>22</v>
      </c>
      <c r="H198" s="159" t="n">
        <v>4</v>
      </c>
      <c r="I198" s="148" t="n">
        <v>3</v>
      </c>
      <c r="J198" s="148" t="n">
        <v>3</v>
      </c>
      <c r="K198" s="149" t="n">
        <v>1656.28</v>
      </c>
      <c r="L198" s="149" t="n">
        <f aca="false">M198+N198</f>
        <v>1656.28</v>
      </c>
      <c r="M198" s="149"/>
      <c r="N198" s="150" t="n">
        <v>1656.28</v>
      </c>
      <c r="O198" s="151" t="n">
        <v>1</v>
      </c>
      <c r="P198" s="149"/>
      <c r="Q198" s="149" t="n">
        <f aca="false">R198+S198</f>
        <v>3342.51</v>
      </c>
      <c r="R198" s="149"/>
      <c r="S198" s="150" t="n">
        <v>3342.51</v>
      </c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customFormat="false" ht="15.75" hidden="false" customHeight="true" outlineLevel="0" collapsed="false">
      <c r="A199" s="17"/>
      <c r="B199" s="18"/>
      <c r="C199" s="18"/>
      <c r="D199" s="18"/>
      <c r="E199" s="18"/>
      <c r="F199" s="26" t="s">
        <v>216</v>
      </c>
      <c r="G199" s="152" t="s">
        <v>26</v>
      </c>
      <c r="H199" s="171" t="n">
        <v>4</v>
      </c>
      <c r="I199" s="154" t="n">
        <v>2</v>
      </c>
      <c r="J199" s="154" t="n">
        <v>2</v>
      </c>
      <c r="K199" s="155" t="n">
        <v>5286</v>
      </c>
      <c r="L199" s="155" t="n">
        <v>528.6</v>
      </c>
      <c r="M199" s="155" t="n">
        <v>528.6</v>
      </c>
      <c r="N199" s="156"/>
      <c r="O199" s="157" t="n">
        <v>5</v>
      </c>
      <c r="P199" s="155" t="n">
        <v>5814.6</v>
      </c>
      <c r="Q199" s="155" t="n">
        <f aca="false">R199+S199</f>
        <v>0</v>
      </c>
      <c r="R199" s="155"/>
      <c r="S199" s="156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customFormat="false" ht="15.75" hidden="false" customHeight="true" outlineLevel="0" collapsed="false">
      <c r="A200" s="33"/>
      <c r="B200" s="34" t="s">
        <v>143</v>
      </c>
      <c r="C200" s="35" t="s">
        <v>20</v>
      </c>
      <c r="D200" s="35"/>
      <c r="E200" s="35" t="s">
        <v>25</v>
      </c>
      <c r="F200" s="36"/>
      <c r="G200" s="146" t="s">
        <v>22</v>
      </c>
      <c r="H200" s="169"/>
      <c r="I200" s="160"/>
      <c r="J200" s="160"/>
      <c r="K200" s="161"/>
      <c r="L200" s="161" t="n">
        <f aca="false">M200+N200</f>
        <v>0</v>
      </c>
      <c r="M200" s="161"/>
      <c r="N200" s="162"/>
      <c r="O200" s="163"/>
      <c r="P200" s="161"/>
      <c r="Q200" s="161" t="n">
        <f aca="false">R200+S200</f>
        <v>0</v>
      </c>
      <c r="R200" s="161"/>
      <c r="S200" s="16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customFormat="false" ht="15.75" hidden="false" customHeight="true" outlineLevel="0" collapsed="false">
      <c r="A201" s="33"/>
      <c r="B201" s="34"/>
      <c r="C201" s="34"/>
      <c r="D201" s="34"/>
      <c r="E201" s="34"/>
      <c r="F201" s="42" t="s">
        <v>217</v>
      </c>
      <c r="G201" s="164" t="s">
        <v>26</v>
      </c>
      <c r="H201" s="171" t="n">
        <v>6</v>
      </c>
      <c r="I201" s="165"/>
      <c r="J201" s="165"/>
      <c r="K201" s="166"/>
      <c r="L201" s="166" t="n">
        <f aca="false">M201+N201</f>
        <v>0</v>
      </c>
      <c r="M201" s="166"/>
      <c r="N201" s="167"/>
      <c r="O201" s="168" t="n">
        <v>4</v>
      </c>
      <c r="P201" s="166" t="n">
        <v>34246.6</v>
      </c>
      <c r="Q201" s="166" t="n">
        <f aca="false">R201+S201</f>
        <v>0</v>
      </c>
      <c r="R201" s="166"/>
      <c r="S201" s="167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customFormat="false" ht="15.75" hidden="false" customHeight="true" outlineLevel="0" collapsed="false">
      <c r="A202" s="17"/>
      <c r="B202" s="18" t="s">
        <v>144</v>
      </c>
      <c r="C202" s="19" t="s">
        <v>20</v>
      </c>
      <c r="D202" s="19"/>
      <c r="E202" s="19" t="s">
        <v>81</v>
      </c>
      <c r="F202" s="20"/>
      <c r="G202" s="146" t="s">
        <v>22</v>
      </c>
      <c r="H202" s="159" t="n">
        <v>4</v>
      </c>
      <c r="I202" s="148"/>
      <c r="J202" s="148"/>
      <c r="K202" s="149"/>
      <c r="L202" s="149" t="n">
        <f aca="false">M202+N202</f>
        <v>0</v>
      </c>
      <c r="M202" s="149"/>
      <c r="N202" s="150"/>
      <c r="O202" s="151" t="n">
        <v>2</v>
      </c>
      <c r="P202" s="149"/>
      <c r="Q202" s="149" t="n">
        <f aca="false">R202+S202</f>
        <v>0</v>
      </c>
      <c r="R202" s="149"/>
      <c r="S202" s="150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customFormat="false" ht="15.75" hidden="false" customHeight="true" outlineLevel="0" collapsed="false">
      <c r="A203" s="17"/>
      <c r="B203" s="18"/>
      <c r="C203" s="18"/>
      <c r="D203" s="18"/>
      <c r="E203" s="18"/>
      <c r="F203" s="26" t="s">
        <v>218</v>
      </c>
      <c r="G203" s="152" t="s">
        <v>26</v>
      </c>
      <c r="H203" s="171" t="n">
        <v>6</v>
      </c>
      <c r="I203" s="154"/>
      <c r="J203" s="154"/>
      <c r="K203" s="155"/>
      <c r="L203" s="155" t="n">
        <f aca="false">M203+N203</f>
        <v>0</v>
      </c>
      <c r="M203" s="155"/>
      <c r="N203" s="156"/>
      <c r="O203" s="157" t="n">
        <v>1</v>
      </c>
      <c r="P203" s="155" t="n">
        <v>1321.5</v>
      </c>
      <c r="Q203" s="155" t="n">
        <f aca="false">R203+S203</f>
        <v>0</v>
      </c>
      <c r="R203" s="155"/>
      <c r="S203" s="156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customFormat="false" ht="15" hidden="false" customHeight="true" outlineLevel="0" collapsed="false">
      <c r="A204" s="33"/>
      <c r="B204" s="34" t="s">
        <v>145</v>
      </c>
      <c r="C204" s="35" t="s">
        <v>20</v>
      </c>
      <c r="D204" s="35"/>
      <c r="E204" s="35" t="s">
        <v>98</v>
      </c>
      <c r="F204" s="36"/>
      <c r="G204" s="146" t="s">
        <v>22</v>
      </c>
      <c r="H204" s="169"/>
      <c r="I204" s="160"/>
      <c r="J204" s="160"/>
      <c r="K204" s="161"/>
      <c r="L204" s="161" t="n">
        <f aca="false">M204+N204</f>
        <v>0</v>
      </c>
      <c r="M204" s="161"/>
      <c r="N204" s="162"/>
      <c r="O204" s="163"/>
      <c r="P204" s="161"/>
      <c r="Q204" s="161" t="n">
        <f aca="false">R204+S204</f>
        <v>0</v>
      </c>
      <c r="R204" s="161"/>
      <c r="S204" s="16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customFormat="false" ht="15.75" hidden="false" customHeight="true" outlineLevel="0" collapsed="false">
      <c r="A205" s="33"/>
      <c r="B205" s="34"/>
      <c r="C205" s="34"/>
      <c r="D205" s="34"/>
      <c r="E205" s="34"/>
      <c r="F205" s="71"/>
      <c r="G205" s="164" t="s">
        <v>23</v>
      </c>
      <c r="H205" s="153"/>
      <c r="I205" s="165"/>
      <c r="J205" s="165"/>
      <c r="K205" s="166"/>
      <c r="L205" s="166" t="n">
        <f aca="false">M205+N205</f>
        <v>0</v>
      </c>
      <c r="M205" s="166"/>
      <c r="N205" s="167"/>
      <c r="O205" s="168"/>
      <c r="P205" s="166"/>
      <c r="Q205" s="166" t="n">
        <f aca="false">R205+S205</f>
        <v>0</v>
      </c>
      <c r="R205" s="166"/>
      <c r="S205" s="167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customFormat="false" ht="15" hidden="false" customHeight="true" outlineLevel="0" collapsed="false">
      <c r="A206" s="17"/>
      <c r="B206" s="18" t="s">
        <v>146</v>
      </c>
      <c r="C206" s="19" t="s">
        <v>20</v>
      </c>
      <c r="D206" s="19"/>
      <c r="E206" s="19" t="s">
        <v>25</v>
      </c>
      <c r="F206" s="22"/>
      <c r="G206" s="146" t="s">
        <v>22</v>
      </c>
      <c r="H206" s="159" t="n">
        <v>4</v>
      </c>
      <c r="I206" s="148" t="n">
        <v>3</v>
      </c>
      <c r="J206" s="148" t="n">
        <v>3</v>
      </c>
      <c r="K206" s="149" t="n">
        <v>1409.6</v>
      </c>
      <c r="L206" s="149" t="n">
        <f aca="false">M206+N206</f>
        <v>352.4</v>
      </c>
      <c r="M206" s="149" t="n">
        <v>352.4</v>
      </c>
      <c r="N206" s="150"/>
      <c r="O206" s="151"/>
      <c r="P206" s="149"/>
      <c r="Q206" s="149" t="n">
        <f aca="false">R206+S206</f>
        <v>1546.68</v>
      </c>
      <c r="R206" s="149" t="n">
        <v>1546.68</v>
      </c>
      <c r="S206" s="150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customFormat="false" ht="15.75" hidden="false" customHeight="true" outlineLevel="0" collapsed="false">
      <c r="A207" s="17"/>
      <c r="B207" s="18"/>
      <c r="C207" s="18"/>
      <c r="D207" s="18"/>
      <c r="E207" s="18"/>
      <c r="F207" s="26" t="s">
        <v>219</v>
      </c>
      <c r="G207" s="152" t="s">
        <v>26</v>
      </c>
      <c r="H207" s="153"/>
      <c r="I207" s="154"/>
      <c r="J207" s="154"/>
      <c r="K207" s="155"/>
      <c r="L207" s="155" t="n">
        <v>1585.8</v>
      </c>
      <c r="M207" s="155" t="n">
        <v>1585.8</v>
      </c>
      <c r="N207" s="156"/>
      <c r="O207" s="157" t="n">
        <v>1</v>
      </c>
      <c r="P207" s="155"/>
      <c r="Q207" s="155" t="n">
        <f aca="false">R207+S207</f>
        <v>0</v>
      </c>
      <c r="R207" s="155"/>
      <c r="S207" s="156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customFormat="false" ht="15.75" hidden="false" customHeight="true" outlineLevel="0" collapsed="false">
      <c r="A208" s="54"/>
      <c r="B208" s="55" t="s">
        <v>147</v>
      </c>
      <c r="C208" s="56" t="s">
        <v>20</v>
      </c>
      <c r="D208" s="56"/>
      <c r="E208" s="56" t="s">
        <v>25</v>
      </c>
      <c r="F208" s="97"/>
      <c r="G208" s="146" t="s">
        <v>22</v>
      </c>
      <c r="H208" s="159" t="n">
        <v>3</v>
      </c>
      <c r="I208" s="160" t="n">
        <v>3</v>
      </c>
      <c r="J208" s="160" t="n">
        <v>3</v>
      </c>
      <c r="K208" s="161" t="n">
        <v>2093.26</v>
      </c>
      <c r="L208" s="161" t="n">
        <f aca="false">M208+N208</f>
        <v>0</v>
      </c>
      <c r="M208" s="161"/>
      <c r="N208" s="162"/>
      <c r="O208" s="163" t="n">
        <v>2</v>
      </c>
      <c r="P208" s="161"/>
      <c r="Q208" s="161" t="n">
        <f aca="false">R208+S208</f>
        <v>0</v>
      </c>
      <c r="R208" s="161"/>
      <c r="S208" s="16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customFormat="false" ht="15.75" hidden="false" customHeight="true" outlineLevel="0" collapsed="false">
      <c r="A209" s="54"/>
      <c r="B209" s="55"/>
      <c r="C209" s="55"/>
      <c r="D209" s="55"/>
      <c r="E209" s="55"/>
      <c r="F209" s="26" t="s">
        <v>220</v>
      </c>
      <c r="G209" s="152" t="s">
        <v>26</v>
      </c>
      <c r="H209" s="171" t="n">
        <v>5</v>
      </c>
      <c r="I209" s="154" t="n">
        <v>1</v>
      </c>
      <c r="J209" s="154" t="n">
        <v>1</v>
      </c>
      <c r="K209" s="155" t="n">
        <v>6167</v>
      </c>
      <c r="L209" s="155" t="n">
        <v>528.6</v>
      </c>
      <c r="M209" s="155" t="n">
        <v>528.6</v>
      </c>
      <c r="N209" s="156"/>
      <c r="O209" s="157" t="n">
        <v>4</v>
      </c>
      <c r="P209" s="155" t="n">
        <v>8105.2</v>
      </c>
      <c r="Q209" s="155" t="n">
        <f aca="false">R209+S209</f>
        <v>0</v>
      </c>
      <c r="R209" s="155"/>
      <c r="S209" s="211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customFormat="false" ht="15" hidden="false" customHeight="true" outlineLevel="0" collapsed="false">
      <c r="A210" s="17"/>
      <c r="B210" s="18" t="s">
        <v>148</v>
      </c>
      <c r="C210" s="19" t="s">
        <v>20</v>
      </c>
      <c r="D210" s="19"/>
      <c r="E210" s="19" t="s">
        <v>21</v>
      </c>
      <c r="F210" s="22"/>
      <c r="G210" s="146" t="s">
        <v>22</v>
      </c>
      <c r="H210" s="159" t="n">
        <v>1</v>
      </c>
      <c r="I210" s="148" t="n">
        <v>1</v>
      </c>
      <c r="J210" s="148" t="n">
        <v>1</v>
      </c>
      <c r="K210" s="149" t="n">
        <v>436.1</v>
      </c>
      <c r="L210" s="149" t="n">
        <f aca="false">M210+N210</f>
        <v>0</v>
      </c>
      <c r="M210" s="149"/>
      <c r="N210" s="150"/>
      <c r="O210" s="151"/>
      <c r="P210" s="149"/>
      <c r="Q210" s="149" t="n">
        <f aca="false">R210+S210</f>
        <v>0</v>
      </c>
      <c r="R210" s="149"/>
      <c r="S210" s="150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customFormat="false" ht="15.75" hidden="false" customHeight="true" outlineLevel="0" collapsed="false">
      <c r="A211" s="17"/>
      <c r="B211" s="18"/>
      <c r="C211" s="18"/>
      <c r="D211" s="18"/>
      <c r="E211" s="18"/>
      <c r="F211" s="26"/>
      <c r="G211" s="152" t="s">
        <v>23</v>
      </c>
      <c r="H211" s="171" t="n">
        <v>2</v>
      </c>
      <c r="I211" s="154"/>
      <c r="J211" s="154"/>
      <c r="K211" s="155"/>
      <c r="L211" s="155" t="n">
        <f aca="false">M211+N211</f>
        <v>0</v>
      </c>
      <c r="M211" s="155"/>
      <c r="N211" s="156"/>
      <c r="O211" s="157" t="n">
        <v>1</v>
      </c>
      <c r="P211" s="155" t="n">
        <v>572.65</v>
      </c>
      <c r="Q211" s="155" t="n">
        <v>572.65</v>
      </c>
      <c r="R211" s="155" t="n">
        <v>572.65</v>
      </c>
      <c r="S211" s="156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customFormat="false" ht="15.75" hidden="false" customHeight="true" outlineLevel="0" collapsed="false">
      <c r="A212" s="99"/>
      <c r="B212" s="100" t="s">
        <v>149</v>
      </c>
      <c r="C212" s="100"/>
      <c r="D212" s="100"/>
      <c r="E212" s="100"/>
      <c r="F212" s="100"/>
      <c r="G212" s="212"/>
      <c r="H212" s="213" t="n">
        <f aca="false">SUM(H9:H211)</f>
        <v>678</v>
      </c>
      <c r="I212" s="214" t="n">
        <f aca="false">SUM(I9:I211)</f>
        <v>262</v>
      </c>
      <c r="J212" s="214" t="n">
        <f aca="false">SUM(J9:J211)</f>
        <v>279</v>
      </c>
      <c r="K212" s="215" t="n">
        <f aca="false">SUM(K9:K211)</f>
        <v>339545.74</v>
      </c>
      <c r="L212" s="215" t="n">
        <f aca="false">SUM(L9:L211)</f>
        <v>104861.21</v>
      </c>
      <c r="M212" s="215" t="n">
        <f aca="false">SUM(M9:M211)</f>
        <v>64604.01</v>
      </c>
      <c r="N212" s="215" t="n">
        <f aca="false">SUM(N9:N211)</f>
        <v>40257.2</v>
      </c>
      <c r="O212" s="213" t="n">
        <f aca="false">SUM(O9:O211)</f>
        <v>408</v>
      </c>
      <c r="P212" s="215" t="n">
        <f aca="false">SUM(P9:P211)</f>
        <v>404075.31</v>
      </c>
      <c r="Q212" s="215" t="n">
        <f aca="false">SUM(Q9:Q211)</f>
        <v>322224.58</v>
      </c>
      <c r="R212" s="215" t="n">
        <f aca="false">SUM(R9:R211)</f>
        <v>210888.54</v>
      </c>
      <c r="S212" s="215" t="n">
        <f aca="false">SUM(S9:S211)</f>
        <v>111336.04</v>
      </c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customFormat="false" ht="15" hidden="false" customHeight="false" outlineLevel="0" collapsed="false">
      <c r="A213" s="2"/>
      <c r="B213" s="2"/>
      <c r="C213" s="2"/>
      <c r="D213" s="2"/>
      <c r="E213" s="2"/>
      <c r="F213" s="2"/>
      <c r="G213" s="2"/>
      <c r="I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customFormat="false" ht="15" hidden="false" customHeight="fals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customFormat="false" ht="15" hidden="false" customHeight="fals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customFormat="false" ht="15" hidden="false" customHeight="true" outlineLevel="0" collapsed="false">
      <c r="A216" s="2"/>
      <c r="B216" s="2"/>
      <c r="C216" s="2"/>
      <c r="D216" s="2"/>
      <c r="E216" s="2"/>
      <c r="F216" s="103"/>
      <c r="G216" s="104" t="s">
        <v>5</v>
      </c>
      <c r="H216" s="104"/>
      <c r="I216" s="104"/>
      <c r="J216" s="104"/>
      <c r="K216" s="104"/>
      <c r="L216" s="104"/>
      <c r="M216" s="104"/>
      <c r="N216" s="104" t="s">
        <v>6</v>
      </c>
      <c r="O216" s="104"/>
      <c r="P216" s="104"/>
      <c r="Q216" s="104"/>
      <c r="R216" s="104"/>
      <c r="S216" s="105" t="s">
        <v>150</v>
      </c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customFormat="false" ht="15" hidden="false" customHeight="false" outlineLevel="0" collapsed="false">
      <c r="A217" s="2"/>
      <c r="B217" s="2"/>
      <c r="C217" s="2"/>
      <c r="D217" s="2"/>
      <c r="E217" s="2"/>
      <c r="F217" s="103"/>
      <c r="G217" s="106" t="s">
        <v>13</v>
      </c>
      <c r="H217" s="106" t="s">
        <v>14</v>
      </c>
      <c r="I217" s="106" t="s">
        <v>15</v>
      </c>
      <c r="J217" s="106" t="s">
        <v>226</v>
      </c>
      <c r="K217" s="106" t="s">
        <v>16</v>
      </c>
      <c r="L217" s="106" t="s">
        <v>17</v>
      </c>
      <c r="M217" s="106" t="s">
        <v>18</v>
      </c>
      <c r="N217" s="106" t="s">
        <v>15</v>
      </c>
      <c r="O217" s="106" t="s">
        <v>226</v>
      </c>
      <c r="P217" s="106" t="s">
        <v>16</v>
      </c>
      <c r="Q217" s="106" t="s">
        <v>17</v>
      </c>
      <c r="R217" s="106" t="s">
        <v>18</v>
      </c>
      <c r="S217" s="105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customFormat="false" ht="15" hidden="false" customHeight="false" outlineLevel="0" collapsed="false">
      <c r="A218" s="2"/>
      <c r="B218" s="2"/>
      <c r="C218" s="2"/>
      <c r="D218" s="2"/>
      <c r="E218" s="2"/>
      <c r="F218" s="107" t="s">
        <v>22</v>
      </c>
      <c r="G218" s="108" t="n">
        <f aca="false">SUMIF($G$9:$G$211,$F$218,H9:H211)</f>
        <v>436</v>
      </c>
      <c r="H218" s="108" t="n">
        <f aca="false">SUMIF($G$9:$G$211,$F$218,I9:I211)</f>
        <v>243</v>
      </c>
      <c r="I218" s="108" t="n">
        <f aca="false">SUMIF($G$9:$G$211,$F$218,J9:J211)</f>
        <v>260</v>
      </c>
      <c r="J218" s="109" t="n">
        <f aca="false">SUMIF($G$9:$G$211,F218,$K$9:$K$211)</f>
        <v>288556.46</v>
      </c>
      <c r="K218" s="109" t="n">
        <f aca="false">SUMIF($G$9:$G$211,$F$218,L9:L211)</f>
        <v>89275.61</v>
      </c>
      <c r="L218" s="109" t="n">
        <f aca="false">SUMIF($G$9:$G$211,$F$218,M9:M211)</f>
        <v>49018.41</v>
      </c>
      <c r="M218" s="109" t="n">
        <f aca="false">SUMIF($G$9:$G$211,$F$218,N9:N211)</f>
        <v>40257.2</v>
      </c>
      <c r="N218" s="108" t="n">
        <f aca="false">SUMIF($G$9:$G$211,$F$218,O9:O211)</f>
        <v>252</v>
      </c>
      <c r="O218" s="109" t="n">
        <f aca="false">SUMIF($G$9:$G$211,F218,$P$9:$P$211)</f>
        <v>0</v>
      </c>
      <c r="P218" s="109" t="n">
        <f aca="false">SUMIF($G$9:$G$211,$F$218,Q9:Q211)</f>
        <v>312317.63</v>
      </c>
      <c r="Q218" s="109" t="n">
        <f aca="false">SUMIF($G$9:$G$211,$F$218,R9:R211)</f>
        <v>200981.59</v>
      </c>
      <c r="R218" s="109" t="n">
        <f aca="false">SUMIF($G$9:$G$211,$F$218,S9:S211)</f>
        <v>111336.04</v>
      </c>
      <c r="S218" s="110" t="n">
        <f aca="false">Q218+L218</f>
        <v>250000</v>
      </c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customFormat="false" ht="15" hidden="false" customHeight="false" outlineLevel="0" collapsed="false">
      <c r="A219" s="2"/>
      <c r="B219" s="2"/>
      <c r="C219" s="2"/>
      <c r="D219" s="2"/>
      <c r="E219" s="2"/>
      <c r="F219" s="107" t="s">
        <v>26</v>
      </c>
      <c r="G219" s="108" t="n">
        <f aca="false">SUMIF($G$9:$G$211,$F$219,H9:H211)</f>
        <v>144</v>
      </c>
      <c r="H219" s="108" t="n">
        <f aca="false">SUMIF($G$9:$G$211,$F$219,I9:I211)</f>
        <v>13</v>
      </c>
      <c r="I219" s="108" t="n">
        <f aca="false">SUMIF($G$9:$G$211,$F$219,J9:J211)</f>
        <v>13</v>
      </c>
      <c r="J219" s="109" t="n">
        <f aca="false">SUMIF($G$9:$G$211,F219,$K$9:$K$211)</f>
        <v>44293.68</v>
      </c>
      <c r="K219" s="109" t="n">
        <f aca="false">SUMIF($G$9:$G$211,$F$219,L9:L211)</f>
        <v>15585.6</v>
      </c>
      <c r="L219" s="109" t="n">
        <f aca="false">SUMIF($G$9:$G$211,$F$219,M9:M211)</f>
        <v>15585.6</v>
      </c>
      <c r="M219" s="109" t="n">
        <f aca="false">SUMIF($G$9:$G$211,$F$219,N9:N211)</f>
        <v>0</v>
      </c>
      <c r="N219" s="108" t="n">
        <f aca="false">SUMIF($G$9:$G$211,$F$219,O9:O211)</f>
        <v>109</v>
      </c>
      <c r="O219" s="109" t="n">
        <f aca="false">SUMIF($G$9:$G$211,F219,$P$9:$P$211)</f>
        <v>298791.32</v>
      </c>
      <c r="P219" s="109" t="n">
        <f aca="false">SUMIF($G$9:$G$211,$F$219,Q9:Q211)</f>
        <v>0</v>
      </c>
      <c r="Q219" s="109" t="n">
        <f aca="false">SUMIF($G$9:$G$211,$F$219,R9:R211)</f>
        <v>0</v>
      </c>
      <c r="R219" s="109" t="n">
        <f aca="false">SUMIF($G$9:$G$211,$F$219,S9:S211)</f>
        <v>0</v>
      </c>
      <c r="S219" s="110" t="n">
        <f aca="false">Q219+L219</f>
        <v>15585.6</v>
      </c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customFormat="false" ht="15" hidden="false" customHeight="false" outlineLevel="0" collapsed="false">
      <c r="A220" s="2"/>
      <c r="B220" s="2"/>
      <c r="C220" s="2"/>
      <c r="D220" s="2"/>
      <c r="E220" s="2"/>
      <c r="F220" s="107" t="s">
        <v>23</v>
      </c>
      <c r="G220" s="108" t="n">
        <f aca="false">SUMIF($G$9:$G$211,$F$220,H9:H211)</f>
        <v>98</v>
      </c>
      <c r="H220" s="108" t="n">
        <f aca="false">SUMIF($G$9:$G$211,$F$220,I9:I211)</f>
        <v>6</v>
      </c>
      <c r="I220" s="108" t="n">
        <f aca="false">SUMIF($G$9:$G$211,$F$220,J9:J211)</f>
        <v>6</v>
      </c>
      <c r="J220" s="109" t="n">
        <f aca="false">SUMIF($G$9:$G$211,F220,$K$9:$K$211)</f>
        <v>6695.6</v>
      </c>
      <c r="K220" s="109" t="n">
        <f aca="false">SUMIF($G$9:$G$211,$F$220,L9:L211)</f>
        <v>0</v>
      </c>
      <c r="L220" s="109" t="n">
        <f aca="false">SUMIF($G$9:$G$211,$F$220,M9:M211)</f>
        <v>0</v>
      </c>
      <c r="M220" s="109" t="n">
        <f aca="false">SUMIF($G$9:$G$211,$F$220,N9:N211)</f>
        <v>0</v>
      </c>
      <c r="N220" s="108" t="n">
        <f aca="false">SUMIF($G$9:$G$211,$F$220,O9:O211)</f>
        <v>47</v>
      </c>
      <c r="O220" s="109" t="n">
        <f aca="false">SUMIF($G$9:$G$211,F220,$P$9:$P$211)</f>
        <v>105283.99</v>
      </c>
      <c r="P220" s="109" t="n">
        <f aca="false">SUMIF($G$9:$G$211,$F$220,Q9:Q211)</f>
        <v>9906.95</v>
      </c>
      <c r="Q220" s="109" t="n">
        <f aca="false">SUMIF($G$9:$G$211,$F$220,R9:R211)</f>
        <v>9906.95</v>
      </c>
      <c r="R220" s="109" t="n">
        <f aca="false">SUMIF($G$9:$G$211,$F$220,S9:S211)</f>
        <v>0</v>
      </c>
      <c r="S220" s="110" t="n">
        <f aca="false">Q220+L220</f>
        <v>9906.95</v>
      </c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customFormat="false" ht="15" hidden="false" customHeight="false" outlineLevel="0" collapsed="false">
      <c r="A221" s="2"/>
      <c r="B221" s="2"/>
      <c r="C221" s="2"/>
      <c r="D221" s="2"/>
      <c r="E221" s="2"/>
      <c r="F221" s="2"/>
      <c r="G221" s="216" t="n">
        <f aca="false">G220+G219+G218</f>
        <v>678</v>
      </c>
      <c r="H221" s="216" t="n">
        <f aca="false">H220+H219+H218</f>
        <v>262</v>
      </c>
      <c r="I221" s="216" t="n">
        <f aca="false">I220+I219+I218</f>
        <v>279</v>
      </c>
      <c r="J221" s="217" t="n">
        <f aca="false">J220+J219+J218</f>
        <v>339545.74</v>
      </c>
      <c r="K221" s="217" t="n">
        <f aca="false">K220+K219+K218</f>
        <v>104861.21</v>
      </c>
      <c r="L221" s="217" t="n">
        <f aca="false">L220+L219+L218</f>
        <v>64604.01</v>
      </c>
      <c r="M221" s="217" t="n">
        <f aca="false">M220+M219+M218</f>
        <v>40257.2</v>
      </c>
      <c r="N221" s="216" t="n">
        <f aca="false">N220+N219+N218</f>
        <v>408</v>
      </c>
      <c r="O221" s="217" t="n">
        <f aca="false">O220+O219+O218</f>
        <v>404075.31</v>
      </c>
      <c r="P221" s="217" t="n">
        <f aca="false">P220+P219+P218</f>
        <v>322224.58</v>
      </c>
      <c r="Q221" s="217" t="n">
        <f aca="false">Q220+Q219+Q218</f>
        <v>210888.54</v>
      </c>
      <c r="R221" s="217" t="n">
        <f aca="false">R220+R219+R218</f>
        <v>111336.04</v>
      </c>
      <c r="S221" s="217" t="n">
        <f aca="false">S220+S219+S218</f>
        <v>275492.55</v>
      </c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customFormat="false" ht="15" hidden="false" customHeight="fals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customFormat="false" ht="15" hidden="false" customHeight="fals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108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customFormat="false" ht="15" hidden="false" customHeight="false" outlineLevel="0" collapsed="false">
      <c r="A224" s="2"/>
      <c r="B224" s="2"/>
      <c r="C224" s="2"/>
      <c r="D224" s="2"/>
      <c r="E224" s="2"/>
      <c r="F224" s="2"/>
      <c r="G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customFormat="false" ht="15" hidden="false" customHeight="fals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customFormat="false" ht="15" hidden="false" customHeight="fals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customFormat="false" ht="15" hidden="false" customHeight="fals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customFormat="false" ht="15" hidden="false" customHeight="fals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customFormat="false" ht="15" hidden="false" customHeight="fals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customFormat="false" ht="15" hidden="false" customHeight="fals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customFormat="false" ht="15" hidden="false" customHeight="fals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customFormat="false" ht="15" hidden="false" customHeight="fals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customFormat="false" ht="15" hidden="false" customHeight="fals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customFormat="false" ht="15" hidden="false" customHeight="fals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customFormat="false" ht="15" hidden="false" customHeight="fals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customFormat="false" ht="15" hidden="false" customHeight="fals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customFormat="false" ht="15" hidden="false" customHeight="fals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customFormat="false" ht="15" hidden="false" customHeight="fals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customFormat="false" ht="15" hidden="false" customHeight="fals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customFormat="false" ht="15" hidden="false" customHeight="fals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customFormat="false" ht="15" hidden="false" customHeight="fals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customFormat="false" ht="15" hidden="false" customHeight="fals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customFormat="false" ht="15" hidden="false" customHeight="fals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customFormat="false" ht="15" hidden="false" customHeight="fals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customFormat="false" ht="15" hidden="false" customHeight="fals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customFormat="false" ht="15" hidden="false" customHeight="fals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customFormat="false" ht="15" hidden="false" customHeight="fals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customFormat="false" ht="15" hidden="false" customHeight="fals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customFormat="false" ht="15" hidden="false" customHeight="fals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customFormat="false" ht="15" hidden="false" customHeight="fals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customFormat="false" ht="15" hidden="false" customHeight="fals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customFormat="false" ht="15" hidden="false" customHeight="fals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customFormat="false" ht="15" hidden="false" customHeight="fals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customFormat="false" ht="15" hidden="false" customHeight="fals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customFormat="false" ht="15" hidden="false" customHeight="fals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</sheetData>
  <mergeCells count="501">
    <mergeCell ref="A2:S2"/>
    <mergeCell ref="A3:S3"/>
    <mergeCell ref="A4:S4"/>
    <mergeCell ref="B6:G6"/>
    <mergeCell ref="H6:N6"/>
    <mergeCell ref="O6:S6"/>
    <mergeCell ref="A9:A10"/>
    <mergeCell ref="B9:B10"/>
    <mergeCell ref="C9:C10"/>
    <mergeCell ref="D9:D10"/>
    <mergeCell ref="E9:E10"/>
    <mergeCell ref="A11:A12"/>
    <mergeCell ref="B11:B12"/>
    <mergeCell ref="C11:C12"/>
    <mergeCell ref="D11:D12"/>
    <mergeCell ref="E11:E12"/>
    <mergeCell ref="A13:A14"/>
    <mergeCell ref="B13:B14"/>
    <mergeCell ref="C13:C14"/>
    <mergeCell ref="D13:D14"/>
    <mergeCell ref="E13:E14"/>
    <mergeCell ref="A15:A16"/>
    <mergeCell ref="B15:B16"/>
    <mergeCell ref="C15:C16"/>
    <mergeCell ref="D15:D16"/>
    <mergeCell ref="E15:E16"/>
    <mergeCell ref="A17:A18"/>
    <mergeCell ref="B17:B18"/>
    <mergeCell ref="C17:C18"/>
    <mergeCell ref="D17:D18"/>
    <mergeCell ref="E17:E18"/>
    <mergeCell ref="A19:A20"/>
    <mergeCell ref="B19:B20"/>
    <mergeCell ref="C19:C20"/>
    <mergeCell ref="D19:D20"/>
    <mergeCell ref="E19:E20"/>
    <mergeCell ref="A21:A22"/>
    <mergeCell ref="B21:B22"/>
    <mergeCell ref="C21:C22"/>
    <mergeCell ref="D21:D22"/>
    <mergeCell ref="E21:E22"/>
    <mergeCell ref="A23:A24"/>
    <mergeCell ref="B23:B24"/>
    <mergeCell ref="C23:C24"/>
    <mergeCell ref="D23:D24"/>
    <mergeCell ref="E23:E24"/>
    <mergeCell ref="A25:A26"/>
    <mergeCell ref="B25:B26"/>
    <mergeCell ref="C25:C26"/>
    <mergeCell ref="D25:D26"/>
    <mergeCell ref="E25:E26"/>
    <mergeCell ref="A27:A28"/>
    <mergeCell ref="B27:B28"/>
    <mergeCell ref="C27:C28"/>
    <mergeCell ref="D27:D28"/>
    <mergeCell ref="E27:E28"/>
    <mergeCell ref="A29:A30"/>
    <mergeCell ref="B29:B30"/>
    <mergeCell ref="C29:C30"/>
    <mergeCell ref="D29:D30"/>
    <mergeCell ref="E29:E30"/>
    <mergeCell ref="A31:A32"/>
    <mergeCell ref="B31:B32"/>
    <mergeCell ref="C31:C32"/>
    <mergeCell ref="D31:D32"/>
    <mergeCell ref="E31:E32"/>
    <mergeCell ref="A33:A34"/>
    <mergeCell ref="B33:B34"/>
    <mergeCell ref="C33:C34"/>
    <mergeCell ref="D33:D34"/>
    <mergeCell ref="E33:E34"/>
    <mergeCell ref="A35:A36"/>
    <mergeCell ref="B35:B36"/>
    <mergeCell ref="C35:C36"/>
    <mergeCell ref="D35:D36"/>
    <mergeCell ref="E35:E36"/>
    <mergeCell ref="A37:A38"/>
    <mergeCell ref="B37:B38"/>
    <mergeCell ref="C37:C38"/>
    <mergeCell ref="D37:D38"/>
    <mergeCell ref="E37:E38"/>
    <mergeCell ref="A39:A40"/>
    <mergeCell ref="B39:B40"/>
    <mergeCell ref="C39:C40"/>
    <mergeCell ref="D39:D40"/>
    <mergeCell ref="E39:E40"/>
    <mergeCell ref="A41:A42"/>
    <mergeCell ref="B41:B42"/>
    <mergeCell ref="C41:C42"/>
    <mergeCell ref="D41:D42"/>
    <mergeCell ref="E41:E42"/>
    <mergeCell ref="A43:A44"/>
    <mergeCell ref="B43:B44"/>
    <mergeCell ref="C43:C44"/>
    <mergeCell ref="D43:D44"/>
    <mergeCell ref="E43:E44"/>
    <mergeCell ref="A45:A46"/>
    <mergeCell ref="B45:B46"/>
    <mergeCell ref="C45:C46"/>
    <mergeCell ref="D45:D46"/>
    <mergeCell ref="E45:E46"/>
    <mergeCell ref="A47:A48"/>
    <mergeCell ref="B47:B48"/>
    <mergeCell ref="C47:C48"/>
    <mergeCell ref="D47:D48"/>
    <mergeCell ref="E47:E48"/>
    <mergeCell ref="A49:A50"/>
    <mergeCell ref="B49:B50"/>
    <mergeCell ref="C49:C50"/>
    <mergeCell ref="D49:D50"/>
    <mergeCell ref="E49:E50"/>
    <mergeCell ref="A51:A52"/>
    <mergeCell ref="B51:B52"/>
    <mergeCell ref="C51:C52"/>
    <mergeCell ref="D51:D52"/>
    <mergeCell ref="E51:E52"/>
    <mergeCell ref="A53:A54"/>
    <mergeCell ref="B53:B54"/>
    <mergeCell ref="C53:C54"/>
    <mergeCell ref="D53:D54"/>
    <mergeCell ref="E53:E54"/>
    <mergeCell ref="A55:A56"/>
    <mergeCell ref="B55:B56"/>
    <mergeCell ref="C55:C56"/>
    <mergeCell ref="D55:D56"/>
    <mergeCell ref="E55:E56"/>
    <mergeCell ref="A57:A58"/>
    <mergeCell ref="B57:B58"/>
    <mergeCell ref="C57:C58"/>
    <mergeCell ref="D57:D58"/>
    <mergeCell ref="E57:E58"/>
    <mergeCell ref="A59:A60"/>
    <mergeCell ref="B59:B60"/>
    <mergeCell ref="C59:C60"/>
    <mergeCell ref="D59:D60"/>
    <mergeCell ref="E59:E60"/>
    <mergeCell ref="A61:A62"/>
    <mergeCell ref="B61:B62"/>
    <mergeCell ref="C61:C62"/>
    <mergeCell ref="D61:D62"/>
    <mergeCell ref="E61:E62"/>
    <mergeCell ref="A63:A64"/>
    <mergeCell ref="B63:B64"/>
    <mergeCell ref="C63:C64"/>
    <mergeCell ref="D63:D64"/>
    <mergeCell ref="E63:E64"/>
    <mergeCell ref="A65:A66"/>
    <mergeCell ref="B65:B66"/>
    <mergeCell ref="C65:C66"/>
    <mergeCell ref="D65:D66"/>
    <mergeCell ref="E65:E66"/>
    <mergeCell ref="A67:A68"/>
    <mergeCell ref="B67:B68"/>
    <mergeCell ref="C67:C68"/>
    <mergeCell ref="D67:D68"/>
    <mergeCell ref="E67:E68"/>
    <mergeCell ref="A69:A70"/>
    <mergeCell ref="B69:B70"/>
    <mergeCell ref="C69:C70"/>
    <mergeCell ref="D69:D70"/>
    <mergeCell ref="E69:E70"/>
    <mergeCell ref="A71:A72"/>
    <mergeCell ref="B71:B72"/>
    <mergeCell ref="C71:C72"/>
    <mergeCell ref="D71:D72"/>
    <mergeCell ref="E71:E72"/>
    <mergeCell ref="A73:A74"/>
    <mergeCell ref="B73:B74"/>
    <mergeCell ref="C73:C74"/>
    <mergeCell ref="D73:D74"/>
    <mergeCell ref="E73:E74"/>
    <mergeCell ref="A75:A76"/>
    <mergeCell ref="B75:B76"/>
    <mergeCell ref="C75:C76"/>
    <mergeCell ref="D75:D76"/>
    <mergeCell ref="E75:E76"/>
    <mergeCell ref="A77:A78"/>
    <mergeCell ref="B77:B78"/>
    <mergeCell ref="C77:C78"/>
    <mergeCell ref="D77:D78"/>
    <mergeCell ref="E77:E78"/>
    <mergeCell ref="A79:A80"/>
    <mergeCell ref="B79:B80"/>
    <mergeCell ref="C79:C80"/>
    <mergeCell ref="D79:D80"/>
    <mergeCell ref="E79:E80"/>
    <mergeCell ref="A81:A82"/>
    <mergeCell ref="B81:B82"/>
    <mergeCell ref="C81:C82"/>
    <mergeCell ref="D81:D82"/>
    <mergeCell ref="E81:E82"/>
    <mergeCell ref="A83:A84"/>
    <mergeCell ref="B83:B84"/>
    <mergeCell ref="C83:C84"/>
    <mergeCell ref="D83:D84"/>
    <mergeCell ref="E83:E84"/>
    <mergeCell ref="A85:A86"/>
    <mergeCell ref="B85:B86"/>
    <mergeCell ref="C85:C86"/>
    <mergeCell ref="D85:D86"/>
    <mergeCell ref="E85:E86"/>
    <mergeCell ref="A87:A89"/>
    <mergeCell ref="B87:B89"/>
    <mergeCell ref="C87:C89"/>
    <mergeCell ref="D87:D89"/>
    <mergeCell ref="E87:E89"/>
    <mergeCell ref="A90:A91"/>
    <mergeCell ref="B90:B91"/>
    <mergeCell ref="C90:C91"/>
    <mergeCell ref="D90:D91"/>
    <mergeCell ref="E90:E91"/>
    <mergeCell ref="A92:A93"/>
    <mergeCell ref="B92:B93"/>
    <mergeCell ref="C92:C93"/>
    <mergeCell ref="D92:D93"/>
    <mergeCell ref="E92:E93"/>
    <mergeCell ref="A94:A95"/>
    <mergeCell ref="B94:B95"/>
    <mergeCell ref="C94:C95"/>
    <mergeCell ref="D94:D95"/>
    <mergeCell ref="E94:E95"/>
    <mergeCell ref="A96:A97"/>
    <mergeCell ref="B96:B97"/>
    <mergeCell ref="C96:C97"/>
    <mergeCell ref="D96:D97"/>
    <mergeCell ref="E96:E97"/>
    <mergeCell ref="A98:A99"/>
    <mergeCell ref="B98:B99"/>
    <mergeCell ref="C98:C99"/>
    <mergeCell ref="D98:D99"/>
    <mergeCell ref="E98:E99"/>
    <mergeCell ref="A100:A101"/>
    <mergeCell ref="B100:B101"/>
    <mergeCell ref="C100:C101"/>
    <mergeCell ref="D100:D101"/>
    <mergeCell ref="E100:E101"/>
    <mergeCell ref="A102:A103"/>
    <mergeCell ref="B102:B103"/>
    <mergeCell ref="C102:C103"/>
    <mergeCell ref="D102:D103"/>
    <mergeCell ref="E102:E103"/>
    <mergeCell ref="A104:A105"/>
    <mergeCell ref="B104:B105"/>
    <mergeCell ref="C104:C105"/>
    <mergeCell ref="D104:D105"/>
    <mergeCell ref="E104:E105"/>
    <mergeCell ref="A106:A108"/>
    <mergeCell ref="B106:B108"/>
    <mergeCell ref="C106:C108"/>
    <mergeCell ref="D106:D108"/>
    <mergeCell ref="E106:E108"/>
    <mergeCell ref="A109:A110"/>
    <mergeCell ref="B109:B110"/>
    <mergeCell ref="C109:C110"/>
    <mergeCell ref="D109:D110"/>
    <mergeCell ref="E109:E110"/>
    <mergeCell ref="A111:A112"/>
    <mergeCell ref="B111:B112"/>
    <mergeCell ref="C111:C112"/>
    <mergeCell ref="D111:D112"/>
    <mergeCell ref="E111:E112"/>
    <mergeCell ref="A113:A114"/>
    <mergeCell ref="B113:B114"/>
    <mergeCell ref="C113:C114"/>
    <mergeCell ref="D113:D114"/>
    <mergeCell ref="E113:E114"/>
    <mergeCell ref="A115:A116"/>
    <mergeCell ref="B115:B116"/>
    <mergeCell ref="C115:C116"/>
    <mergeCell ref="D115:D116"/>
    <mergeCell ref="E115:E116"/>
    <mergeCell ref="A117:A119"/>
    <mergeCell ref="B117:B119"/>
    <mergeCell ref="C117:C119"/>
    <mergeCell ref="D117:D119"/>
    <mergeCell ref="E117:E119"/>
    <mergeCell ref="A120:A121"/>
    <mergeCell ref="B120:B121"/>
    <mergeCell ref="C120:C121"/>
    <mergeCell ref="D120:D121"/>
    <mergeCell ref="E120:E121"/>
    <mergeCell ref="A122:A124"/>
    <mergeCell ref="B122:B124"/>
    <mergeCell ref="C122:C124"/>
    <mergeCell ref="D122:D124"/>
    <mergeCell ref="E122:E124"/>
    <mergeCell ref="A125:A126"/>
    <mergeCell ref="B125:B126"/>
    <mergeCell ref="C125:C126"/>
    <mergeCell ref="D125:D126"/>
    <mergeCell ref="E125:E126"/>
    <mergeCell ref="A127:A128"/>
    <mergeCell ref="B127:B128"/>
    <mergeCell ref="C127:C128"/>
    <mergeCell ref="D127:D128"/>
    <mergeCell ref="E127:E128"/>
    <mergeCell ref="A129:A130"/>
    <mergeCell ref="B129:B130"/>
    <mergeCell ref="C129:C130"/>
    <mergeCell ref="D129:D130"/>
    <mergeCell ref="E129:E130"/>
    <mergeCell ref="A131:A132"/>
    <mergeCell ref="B131:B132"/>
    <mergeCell ref="C131:C132"/>
    <mergeCell ref="D131:D132"/>
    <mergeCell ref="E131:E132"/>
    <mergeCell ref="A133:A134"/>
    <mergeCell ref="B133:B134"/>
    <mergeCell ref="C133:C134"/>
    <mergeCell ref="D133:D134"/>
    <mergeCell ref="E133:E134"/>
    <mergeCell ref="A135:A136"/>
    <mergeCell ref="B135:B136"/>
    <mergeCell ref="C135:C136"/>
    <mergeCell ref="D135:D136"/>
    <mergeCell ref="E135:E136"/>
    <mergeCell ref="A137:A138"/>
    <mergeCell ref="B137:B138"/>
    <mergeCell ref="C137:C138"/>
    <mergeCell ref="D137:D138"/>
    <mergeCell ref="E137:E138"/>
    <mergeCell ref="A139:A140"/>
    <mergeCell ref="B139:B140"/>
    <mergeCell ref="C139:C140"/>
    <mergeCell ref="D139:D140"/>
    <mergeCell ref="E139:E140"/>
    <mergeCell ref="A141:A142"/>
    <mergeCell ref="B141:B142"/>
    <mergeCell ref="C141:C142"/>
    <mergeCell ref="D141:D142"/>
    <mergeCell ref="E141:E142"/>
    <mergeCell ref="A143:A144"/>
    <mergeCell ref="B143:B144"/>
    <mergeCell ref="C143:C144"/>
    <mergeCell ref="D143:D144"/>
    <mergeCell ref="E143:E144"/>
    <mergeCell ref="A145:A146"/>
    <mergeCell ref="B145:B146"/>
    <mergeCell ref="C145:C146"/>
    <mergeCell ref="D145:D146"/>
    <mergeCell ref="E145:E146"/>
    <mergeCell ref="A147:A148"/>
    <mergeCell ref="B147:B148"/>
    <mergeCell ref="C147:C148"/>
    <mergeCell ref="D147:D148"/>
    <mergeCell ref="E147:E148"/>
    <mergeCell ref="A149:A150"/>
    <mergeCell ref="B149:B150"/>
    <mergeCell ref="C149:C150"/>
    <mergeCell ref="D149:D150"/>
    <mergeCell ref="E149:E150"/>
    <mergeCell ref="A151:A153"/>
    <mergeCell ref="B151:B153"/>
    <mergeCell ref="C151:C153"/>
    <mergeCell ref="D151:D153"/>
    <mergeCell ref="E151:E153"/>
    <mergeCell ref="A154:A155"/>
    <mergeCell ref="B154:B155"/>
    <mergeCell ref="C154:C155"/>
    <mergeCell ref="D154:D155"/>
    <mergeCell ref="E154:E155"/>
    <mergeCell ref="A156:A157"/>
    <mergeCell ref="B156:B157"/>
    <mergeCell ref="C156:C157"/>
    <mergeCell ref="D156:D157"/>
    <mergeCell ref="E156:E157"/>
    <mergeCell ref="A158:A159"/>
    <mergeCell ref="B158:B159"/>
    <mergeCell ref="C158:C159"/>
    <mergeCell ref="D158:D159"/>
    <mergeCell ref="E158:E159"/>
    <mergeCell ref="B160:B161"/>
    <mergeCell ref="D160:D161"/>
    <mergeCell ref="A162:A163"/>
    <mergeCell ref="B162:B163"/>
    <mergeCell ref="C162:C163"/>
    <mergeCell ref="D162:D163"/>
    <mergeCell ref="E162:E163"/>
    <mergeCell ref="A164:A165"/>
    <mergeCell ref="B164:B165"/>
    <mergeCell ref="C164:C165"/>
    <mergeCell ref="D164:D165"/>
    <mergeCell ref="E164:E165"/>
    <mergeCell ref="A166:A167"/>
    <mergeCell ref="B166:B167"/>
    <mergeCell ref="C166:C167"/>
    <mergeCell ref="D166:D167"/>
    <mergeCell ref="E166:E167"/>
    <mergeCell ref="A168:A169"/>
    <mergeCell ref="B168:B169"/>
    <mergeCell ref="C168:C169"/>
    <mergeCell ref="D168:D169"/>
    <mergeCell ref="E168:E169"/>
    <mergeCell ref="A170:A171"/>
    <mergeCell ref="B170:B171"/>
    <mergeCell ref="C170:C171"/>
    <mergeCell ref="D170:D171"/>
    <mergeCell ref="A172:A173"/>
    <mergeCell ref="B172:B173"/>
    <mergeCell ref="C172:C173"/>
    <mergeCell ref="D172:D173"/>
    <mergeCell ref="E172:E173"/>
    <mergeCell ref="A174:A175"/>
    <mergeCell ref="B174:B175"/>
    <mergeCell ref="C174:C175"/>
    <mergeCell ref="D174:D175"/>
    <mergeCell ref="E174:E175"/>
    <mergeCell ref="A176:A177"/>
    <mergeCell ref="B176:B177"/>
    <mergeCell ref="C176:C177"/>
    <mergeCell ref="D176:D177"/>
    <mergeCell ref="E176:E177"/>
    <mergeCell ref="A178:A179"/>
    <mergeCell ref="B178:B179"/>
    <mergeCell ref="C178:C179"/>
    <mergeCell ref="D178:D179"/>
    <mergeCell ref="E178:E179"/>
    <mergeCell ref="A180:A181"/>
    <mergeCell ref="B180:B181"/>
    <mergeCell ref="C180:C181"/>
    <mergeCell ref="D180:D181"/>
    <mergeCell ref="E180:E181"/>
    <mergeCell ref="A182:A183"/>
    <mergeCell ref="B182:B183"/>
    <mergeCell ref="C182:C183"/>
    <mergeCell ref="D182:D183"/>
    <mergeCell ref="E182:E183"/>
    <mergeCell ref="A184:A185"/>
    <mergeCell ref="B184:B185"/>
    <mergeCell ref="C184:C185"/>
    <mergeCell ref="D184:D185"/>
    <mergeCell ref="E184:E185"/>
    <mergeCell ref="A186:A187"/>
    <mergeCell ref="B186:B187"/>
    <mergeCell ref="C186:C187"/>
    <mergeCell ref="D186:D187"/>
    <mergeCell ref="E186:E187"/>
    <mergeCell ref="A188:A189"/>
    <mergeCell ref="B188:B189"/>
    <mergeCell ref="C188:C189"/>
    <mergeCell ref="D188:D189"/>
    <mergeCell ref="E188:E189"/>
    <mergeCell ref="A190:A191"/>
    <mergeCell ref="B190:B191"/>
    <mergeCell ref="C190:C191"/>
    <mergeCell ref="D190:D191"/>
    <mergeCell ref="E190:E191"/>
    <mergeCell ref="A192:A193"/>
    <mergeCell ref="B192:B193"/>
    <mergeCell ref="C192:C193"/>
    <mergeCell ref="D192:D193"/>
    <mergeCell ref="E192:E193"/>
    <mergeCell ref="A194:A195"/>
    <mergeCell ref="B194:B195"/>
    <mergeCell ref="C194:C195"/>
    <mergeCell ref="D194:D195"/>
    <mergeCell ref="E194:E195"/>
    <mergeCell ref="A196:A197"/>
    <mergeCell ref="B196:B197"/>
    <mergeCell ref="C196:C197"/>
    <mergeCell ref="D196:D197"/>
    <mergeCell ref="E196:E197"/>
    <mergeCell ref="A198:A199"/>
    <mergeCell ref="B198:B199"/>
    <mergeCell ref="C198:C199"/>
    <mergeCell ref="D198:D199"/>
    <mergeCell ref="E198:E199"/>
    <mergeCell ref="A200:A201"/>
    <mergeCell ref="B200:B201"/>
    <mergeCell ref="C200:C201"/>
    <mergeCell ref="D200:D201"/>
    <mergeCell ref="E200:E201"/>
    <mergeCell ref="A202:A203"/>
    <mergeCell ref="B202:B203"/>
    <mergeCell ref="C202:C203"/>
    <mergeCell ref="D202:D203"/>
    <mergeCell ref="E202:E203"/>
    <mergeCell ref="A204:A205"/>
    <mergeCell ref="B204:B205"/>
    <mergeCell ref="C204:C205"/>
    <mergeCell ref="D204:D205"/>
    <mergeCell ref="E204:E205"/>
    <mergeCell ref="A206:A207"/>
    <mergeCell ref="B206:B207"/>
    <mergeCell ref="C206:C207"/>
    <mergeCell ref="D206:D207"/>
    <mergeCell ref="E206:E207"/>
    <mergeCell ref="A208:A209"/>
    <mergeCell ref="B208:B209"/>
    <mergeCell ref="C208:C209"/>
    <mergeCell ref="D208:D209"/>
    <mergeCell ref="E208:E209"/>
    <mergeCell ref="A210:A211"/>
    <mergeCell ref="B210:B211"/>
    <mergeCell ref="C210:C211"/>
    <mergeCell ref="D210:D211"/>
    <mergeCell ref="E210:E211"/>
    <mergeCell ref="F216:F217"/>
    <mergeCell ref="G216:M216"/>
    <mergeCell ref="N216:R216"/>
    <mergeCell ref="S216:S217"/>
  </mergeCell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LibreOffice/6.1.3.2$Windows_X86_64 LibreOffice_project/86daf60bf00efa86ad547e59e09d6bb77c699acb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description/>
  <dc:language>uk-UA</dc:language>
  <cp:lastModifiedBy/>
  <dcterms:modified xsi:type="dcterms:W3CDTF">2019-01-04T14:22:38Z</dcterms:modified>
  <cp:revision>1</cp:revision>
  <dc:subject/>
  <dc:title/>
</cp:coreProperties>
</file>